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616" yWindow="820" windowWidth="28640" windowHeight="11900" tabRatio="292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ac_R_Im">'Hoja1'!$AW$19:$AW$100</definedName>
    <definedName name="ac_R_Re">'Hoja1'!$AV$19:$AV$100</definedName>
    <definedName name="ac_S_Im">'Hoja1'!$AY$19:$AY$100</definedName>
    <definedName name="ac_S_Re">'Hoja1'!$AX$19:$AX$100</definedName>
    <definedName name="ac_T_Im">'Hoja1'!$BA$19:$BA$100</definedName>
    <definedName name="ac_T_Re">'Hoja1'!$AZ$19:$AZ$100</definedName>
    <definedName name="alfa">'Hoja1'!$J$103:$J$116</definedName>
    <definedName name="Constante_k">'Hoja1'!$D$103:$D$116</definedName>
    <definedName name="FASE">'Hoja1'!$D$19:$D$100</definedName>
    <definedName name="FASE_R">'Hoja1'!$CD$19:$CD$100</definedName>
    <definedName name="FASE_S">'Hoja1'!$CE$19:$CE$100</definedName>
    <definedName name="FASE_T">'Hoja1'!$CF$19:$CF$100</definedName>
    <definedName name="FINAL">'Hoja1'!$B$19:$B$100</definedName>
    <definedName name="I_cosfi">'Hoja1'!$CN$19:$CN$100</definedName>
    <definedName name="I_nom_A">'Hoja1'!$W$19:$W$100</definedName>
    <definedName name="I_tramo">'Hoja1'!$BK$19:$BK$100</definedName>
    <definedName name="I_tramoR">'Hoja1'!$CR$19:$CR$100</definedName>
    <definedName name="I_tramoS">'Hoja1'!$CS$19:$CS$100</definedName>
    <definedName name="I_tramoT">'Hoja1'!$CT$19:$CT$100</definedName>
    <definedName name="Incre_temp">'Hoja1'!$F$103:$F$116</definedName>
    <definedName name="INICIO">'Hoja1'!$A$19:$A$100</definedName>
    <definedName name="IR_cosfi">'Hoja1'!$CX$19:$CX$100</definedName>
    <definedName name="IS_cosfi">'Hoja1'!$CY$19:$CY$100</definedName>
    <definedName name="IT_cosfi">'Hoja1'!$CZ$19:$CZ$100</definedName>
    <definedName name="LONG">'Hoja1'!$C$19:$C$100</definedName>
    <definedName name="Long_tri_Al">'Hoja1'!$CM$19:$CM$100</definedName>
    <definedName name="Long_tri_Cu">'Hoja1'!$CL$19:$CL$100</definedName>
    <definedName name="Long_uni_Al">'Hoja1'!$CK$19:$CK$100</definedName>
    <definedName name="Long_uni_Cu">'Hoja1'!$CJ$19:$CJ$100</definedName>
    <definedName name="N_IM">'Hoja1'!$AT$19:$AT$100</definedName>
    <definedName name="N_RE">'Hoja1'!$AS$19:$AS$100</definedName>
    <definedName name="P_nom_W">'Hoja1'!$E$19:$E$100</definedName>
    <definedName name="R_FINAL">'Hoja1'!$BV$19:$BV$100</definedName>
    <definedName name="R_IM">'Hoja1'!$AK$19:$AK$100</definedName>
    <definedName name="R_RE">'Hoja1'!$AJ$19:$AJ$100</definedName>
    <definedName name="React_tripo">'Hoja1'!$K$103:$K$124</definedName>
    <definedName name="React_unipo">'Hoja1'!$L$103:$L$134</definedName>
    <definedName name="Resis_20_C">'Hoja1'!$I$103:$I$116</definedName>
    <definedName name="S_IM">'Hoja1'!$AN$19:$AN$100</definedName>
    <definedName name="S_RE">'Hoja1'!$AM$19:$AM$100</definedName>
    <definedName name="Sección">'Hoja1'!$E$103:$E$124</definedName>
    <definedName name="Sección_fase">'Hoja1'!$K$19:$K$100</definedName>
    <definedName name="T_IM">'Hoja1'!$AQ$19:$AQ$100</definedName>
    <definedName name="T_RE">'Hoja1'!$AP$19:$AP$100</definedName>
    <definedName name="Tem_amb">'Hoja1'!$H$103:$H$116</definedName>
    <definedName name="Tem_máx">'Hoja1'!$N$103:$N$116</definedName>
    <definedName name="Tipo_cable">'Hoja1'!$C$103:$C$116</definedName>
    <definedName name="U_FINAL">'Hoja1'!$BM$19:$BM$100</definedName>
    <definedName name="U_FINAL_R">'Hoja1'!$BP$19:$BP$100</definedName>
    <definedName name="U_FINAL_S">'Hoja1'!$BR$19:$BR$100</definedName>
    <definedName name="U_FINAL_T">'Hoja1'!$BT$19:$BT$100</definedName>
    <definedName name="X_FINAL">'Hoja1'!$BW$19:$BW$100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<sst xmlns="http://schemas.openxmlformats.org/spreadsheetml/2006/main" count="614" uniqueCount="300">
  <si>
    <t>LONGITUDES NECESARIAS DE CONDUCTOR DE FASE POR SECCIONES (EL NEUTRO NO ESTÁ CONSIDERADO)</t>
  </si>
  <si>
    <t>Long_uni_Cu</t>
  </si>
  <si>
    <t>Long_uni_Al</t>
  </si>
  <si>
    <t>Long. tri. Al (m)</t>
  </si>
  <si>
    <t>Long. uni. Cu (m)</t>
  </si>
  <si>
    <t>Long. uni. Al (m)</t>
  </si>
  <si>
    <t>Long. tri. Cu (m)</t>
  </si>
  <si>
    <t>&lt;-- t falta</t>
  </si>
  <si>
    <t>tmáx falta(s)</t>
  </si>
  <si>
    <t>Imáx(CN)n</t>
  </si>
  <si>
    <t>Tem_máx</t>
  </si>
  <si>
    <t>Tem_amb</t>
  </si>
  <si>
    <t>Imáx (c.i.)</t>
  </si>
  <si>
    <t xml:space="preserve">Caídas de tensión simples y compuestas máx. por tramo                     </t>
  </si>
  <si>
    <t>CÁLCULO COMPLETO</t>
  </si>
  <si>
    <t>Máximo</t>
  </si>
  <si>
    <t xml:space="preserve">       CONDICIÓN NECESARIA:</t>
  </si>
  <si>
    <t>LONG</t>
  </si>
  <si>
    <t>fdp</t>
  </si>
  <si>
    <t>Sección</t>
  </si>
  <si>
    <t>IT tramoMo</t>
  </si>
  <si>
    <t xml:space="preserve">               Fase R</t>
  </si>
  <si>
    <t xml:space="preserve">               Fase S</t>
  </si>
  <si>
    <t xml:space="preserve">       Fase T</t>
  </si>
  <si>
    <t xml:space="preserve">              Fase T</t>
  </si>
  <si>
    <t>Cálculo aproximado 2</t>
  </si>
  <si>
    <t>No</t>
  </si>
  <si>
    <t>Tipo_cable</t>
  </si>
  <si>
    <t>DESPRECIAR CAÍDA EN EL NEUTRO</t>
  </si>
  <si>
    <t>IS tramoMo</t>
  </si>
  <si>
    <t>Fase R</t>
  </si>
  <si>
    <t>Fase S</t>
  </si>
  <si>
    <t>Fase S + N</t>
  </si>
  <si>
    <t>Fase T + N</t>
  </si>
  <si>
    <t>Valores eficaces</t>
  </si>
  <si>
    <t>ac_R_Re</t>
  </si>
  <si>
    <t xml:space="preserve">    Cálculo aproximado 1</t>
  </si>
  <si>
    <t>I_tramoR</t>
  </si>
  <si>
    <t>I_tramoS</t>
  </si>
  <si>
    <t>I_tramoT</t>
  </si>
  <si>
    <t>I_tramo</t>
  </si>
  <si>
    <t>I_cosfi</t>
  </si>
  <si>
    <t>U_FINAL</t>
  </si>
  <si>
    <t>Icc cable</t>
  </si>
  <si>
    <t>Cu-XLPE/Aér</t>
  </si>
  <si>
    <t>Cu-XLPE/Ent</t>
  </si>
  <si>
    <t>Al-PVC/Aér</t>
  </si>
  <si>
    <t>Al-PVC/Ent</t>
  </si>
  <si>
    <t>Al-EPR/Aér</t>
  </si>
  <si>
    <t>Al-EPR/Ent</t>
  </si>
  <si>
    <t>Al-XLPE/Aér</t>
  </si>
  <si>
    <t>Al-XLPE/Ent</t>
  </si>
  <si>
    <t>V_R</t>
  </si>
  <si>
    <t>V_S</t>
  </si>
  <si>
    <t>V_T</t>
  </si>
  <si>
    <t>Intensidades en cada tramo</t>
  </si>
  <si>
    <t>R(IR^2+IS^2+IT^2)</t>
  </si>
  <si>
    <t xml:space="preserve"> Pérdidas (kW)</t>
  </si>
  <si>
    <t xml:space="preserve"> Pérdidas %</t>
  </si>
  <si>
    <t xml:space="preserve"> Rendimiento %</t>
  </si>
  <si>
    <t xml:space="preserve">        Cálculo por rendimiento</t>
  </si>
  <si>
    <t>FASE</t>
  </si>
  <si>
    <t>R</t>
  </si>
  <si>
    <t>S</t>
  </si>
  <si>
    <t>T</t>
  </si>
  <si>
    <t>RST</t>
  </si>
  <si>
    <t xml:space="preserve">        PROGRAMA DE CÁLCULO DE LÍNEAS TRIFÁSICAS RAMIFICADAS</t>
  </si>
  <si>
    <t>DESPRECIAR REACTANCIA</t>
  </si>
  <si>
    <t>VARIACIÓN DE RESISTENCIA CON TEMPERATURA</t>
  </si>
  <si>
    <t>PORCENTAJE REACTANCIA NEUTRO</t>
  </si>
  <si>
    <t>INSTRUCCIONES</t>
  </si>
  <si>
    <t>ac_R_Im</t>
  </si>
  <si>
    <t>ac_S_Re</t>
  </si>
  <si>
    <t>ac_S_Im</t>
  </si>
  <si>
    <t>ac_T_Re</t>
  </si>
  <si>
    <t>Tipo instala.</t>
  </si>
  <si>
    <t>Fase</t>
  </si>
  <si>
    <t>Motor</t>
  </si>
  <si>
    <t>Alum. des.</t>
  </si>
  <si>
    <t>Sin relevancia</t>
  </si>
  <si>
    <t>Un (V) =</t>
  </si>
  <si>
    <t>Vn (V) =</t>
  </si>
  <si>
    <t>U_RS</t>
  </si>
  <si>
    <t>U_ST</t>
  </si>
  <si>
    <t>U_TR</t>
  </si>
  <si>
    <t xml:space="preserve"> ∆Vmáx (%)</t>
  </si>
  <si>
    <t xml:space="preserve"> ∆Vmáx (V)</t>
  </si>
  <si>
    <t>∆Umáx (V)</t>
  </si>
  <si>
    <t xml:space="preserve"> ∆Umáx (%)</t>
  </si>
  <si>
    <t>Sección (mm^2)</t>
  </si>
  <si>
    <t>Pmáx (kW)</t>
  </si>
  <si>
    <t>Imáx (A)</t>
  </si>
  <si>
    <t>Nº receptores</t>
  </si>
  <si>
    <t>Sección_fase</t>
  </si>
  <si>
    <t xml:space="preserve">Sin considerar las fases       </t>
  </si>
  <si>
    <t>∆Vmáx % ≤</t>
  </si>
  <si>
    <t>VARIACIÓN DE TENSIÓN EN NUDOS</t>
  </si>
  <si>
    <t>Fase T</t>
  </si>
  <si>
    <t>Porcentaje n.</t>
  </si>
  <si>
    <t>INICIO</t>
  </si>
  <si>
    <t>FINAL</t>
  </si>
  <si>
    <t>Resis. fase R (Ω)</t>
  </si>
  <si>
    <t>Resis. fase S (Ω)</t>
  </si>
  <si>
    <t>Resis. fase T (Ω)</t>
  </si>
  <si>
    <t>Resis. neutro (Ω)</t>
  </si>
  <si>
    <t>Reacta. fase (Ω)</t>
  </si>
  <si>
    <t>Reacta. neutro(Ω)</t>
  </si>
  <si>
    <t>Pn trafo</t>
  </si>
  <si>
    <t>SI APARECEN VALORES RAROS DESACTIVAR</t>
  </si>
  <si>
    <t>LAS TRES FASES Y VOLVER A ACTIVARLAS</t>
  </si>
  <si>
    <t xml:space="preserve">     Imáx (c.i.) &gt; Imáx (R-S-T)</t>
  </si>
  <si>
    <t>Tripolar/Cu</t>
  </si>
  <si>
    <t>Tripolar/Al</t>
  </si>
  <si>
    <t>Unipolar/Cu</t>
  </si>
  <si>
    <t>Unipolar/Al</t>
  </si>
  <si>
    <t>Long_tri_Cu</t>
  </si>
  <si>
    <t>Long_tri_Al</t>
  </si>
  <si>
    <t>Trz.mono.-Cu</t>
  </si>
  <si>
    <t>Trz. trifá.-Cu</t>
  </si>
  <si>
    <t>Trz.mon.-Cu</t>
  </si>
  <si>
    <t>Trz.mon.-Al</t>
  </si>
  <si>
    <t>Tendi. con fiador de acero</t>
  </si>
  <si>
    <t xml:space="preserve">                Cables unipolares (Al)</t>
  </si>
  <si>
    <t xml:space="preserve">              Cables tripolares (Al)</t>
  </si>
  <si>
    <t>XLPE</t>
  </si>
  <si>
    <t>EPR</t>
  </si>
  <si>
    <t>PVC</t>
  </si>
  <si>
    <t>0,7 por defecto</t>
  </si>
  <si>
    <t xml:space="preserve">CELDAS DE ESTE COLOR (OPCIONALES)  </t>
  </si>
  <si>
    <t xml:space="preserve">Icc tri &lt; Icc(cable)                </t>
  </si>
  <si>
    <t>Condición:</t>
  </si>
  <si>
    <t>TABLAS AUXILIARES</t>
  </si>
  <si>
    <t xml:space="preserve">      Si no se cumple la condición: aumentar la sección o disminuir el tiempo de falta</t>
  </si>
  <si>
    <t>∆V % -R</t>
  </si>
  <si>
    <t>∆V % -S</t>
  </si>
  <si>
    <t>∆V % -T</t>
  </si>
  <si>
    <t>Cu-PVC/Aér</t>
  </si>
  <si>
    <t>Cu-EPR/Aér</t>
  </si>
  <si>
    <t>Cu-EPR/Ent</t>
  </si>
  <si>
    <t>Cu-PVC/Ent</t>
  </si>
  <si>
    <t xml:space="preserve">       Neutro</t>
  </si>
  <si>
    <t>R_RE</t>
  </si>
  <si>
    <t>R_IM</t>
  </si>
  <si>
    <t>R_Mod</t>
  </si>
  <si>
    <t>S_RE</t>
  </si>
  <si>
    <t>S_IM</t>
  </si>
  <si>
    <t>S_Mod</t>
  </si>
  <si>
    <t>T_RE</t>
  </si>
  <si>
    <t>T_IM</t>
  </si>
  <si>
    <t>T_Mod</t>
  </si>
  <si>
    <t>N_RE</t>
  </si>
  <si>
    <t>N_IM</t>
  </si>
  <si>
    <t>N_Mod</t>
  </si>
  <si>
    <t>Tensiones simple en cada nudo FIN</t>
  </si>
  <si>
    <t>Fase R + N</t>
  </si>
  <si>
    <t>Trans. necesario con 1.25 Motores (kVA)</t>
  </si>
  <si>
    <t>IR Mot máx</t>
  </si>
  <si>
    <t>IS Mot máx</t>
  </si>
  <si>
    <t>IT Mot máx</t>
  </si>
  <si>
    <t>FASE_R</t>
  </si>
  <si>
    <t>FASE_S</t>
  </si>
  <si>
    <t>FASE_T</t>
  </si>
  <si>
    <t>fac.sim.sin temp.</t>
  </si>
  <si>
    <t>ac_T_Im</t>
  </si>
  <si>
    <t>Tensiones compuestas</t>
  </si>
  <si>
    <t xml:space="preserve">                     </t>
  </si>
  <si>
    <t>RELLENAR LAS CELDAS DE ESTE COLOR</t>
  </si>
  <si>
    <t>LOS RESULTADOS EN ESTE COLOR</t>
  </si>
  <si>
    <t>Incre_temp</t>
  </si>
  <si>
    <t>Alm-XLPE/Aér</t>
  </si>
  <si>
    <t>Imáx (R-S-T)</t>
  </si>
  <si>
    <t>Constante_k</t>
  </si>
  <si>
    <t>Resis_20_C</t>
  </si>
  <si>
    <t>alfa</t>
  </si>
  <si>
    <t>Cond/inst(f)</t>
  </si>
  <si>
    <t>Cond/inst(n)</t>
  </si>
  <si>
    <t>Cálculo de corrientes de cortocircuito en INICIO</t>
  </si>
  <si>
    <t>Sección neut.</t>
  </si>
  <si>
    <t>Tipo carga</t>
  </si>
  <si>
    <t>Punto Mmáx</t>
  </si>
  <si>
    <t>Coefi. Simul.</t>
  </si>
  <si>
    <t>Tensión de cortocircuito ucc%</t>
  </si>
  <si>
    <t>Icc tri (kA)</t>
  </si>
  <si>
    <t>R_FINAL</t>
  </si>
  <si>
    <t>X_FINAL</t>
  </si>
  <si>
    <t>Smáx (kVA)</t>
  </si>
  <si>
    <t>Imáx_R</t>
  </si>
  <si>
    <t>Imáx_S</t>
  </si>
  <si>
    <t>Imáx_T</t>
  </si>
  <si>
    <t>Transformador necesario (kVA)</t>
  </si>
  <si>
    <t>Caídas de tensión simples en %</t>
  </si>
  <si>
    <t xml:space="preserve">       Reactancia correspondiente del trafo. (Ω)</t>
  </si>
  <si>
    <t>Tipo_instala</t>
  </si>
  <si>
    <t>React_tripo</t>
  </si>
  <si>
    <t>React_unipo</t>
  </si>
  <si>
    <t>Reactan/m (f)</t>
  </si>
  <si>
    <t>Reactan/m (n)</t>
  </si>
  <si>
    <t>P_nom_W</t>
  </si>
  <si>
    <t>I Mot máx</t>
  </si>
  <si>
    <t>I_nom_A</t>
  </si>
  <si>
    <t>Imáx(CN)f</t>
  </si>
  <si>
    <t>Fase activada:</t>
  </si>
  <si>
    <t>Rf (Ω)a 20ºC</t>
  </si>
  <si>
    <t>Rn (Ω)a 20ºC</t>
  </si>
  <si>
    <t>I tramo con Mot.</t>
  </si>
  <si>
    <t>Imáx(RST)M</t>
  </si>
  <si>
    <t>IR_cosfi</t>
  </si>
  <si>
    <t>IS_cosfi</t>
  </si>
  <si>
    <t>IT_cosfi</t>
  </si>
  <si>
    <t>U_FINAL_R</t>
  </si>
  <si>
    <t>∆U % -R</t>
  </si>
  <si>
    <t>U_FINAL_S</t>
  </si>
  <si>
    <t>∆U % -S</t>
  </si>
  <si>
    <t>U_FINAL_T</t>
  </si>
  <si>
    <t>∆U % -T</t>
  </si>
  <si>
    <t>IR tramoMo</t>
  </si>
  <si>
    <t>Batería condensadores necesaria (kVA)</t>
  </si>
  <si>
    <t>Qmáx (kVAr)</t>
  </si>
  <si>
    <t>Transformador seleccionado(kVA)</t>
  </si>
  <si>
    <t>Sí</t>
  </si>
  <si>
    <t>FASES</t>
  </si>
  <si>
    <t>RS</t>
  </si>
  <si>
    <t>ST</t>
  </si>
  <si>
    <t>TR</t>
  </si>
  <si>
    <t>∆U (V)</t>
  </si>
  <si>
    <t xml:space="preserve"> ∆V %</t>
  </si>
  <si>
    <t xml:space="preserve"> ∆U %</t>
  </si>
  <si>
    <t>∆V (V)</t>
  </si>
  <si>
    <t>M. de cálculo</t>
  </si>
  <si>
    <t xml:space="preserve">         variación de la resistencia con la temperatura, neutro, cálculo fasorial.</t>
  </si>
  <si>
    <t>Cálculo completo</t>
  </si>
  <si>
    <t>Todos los cálculos</t>
  </si>
  <si>
    <t>Cál. Aprox 1</t>
  </si>
  <si>
    <t xml:space="preserve">   Cálculo completo</t>
  </si>
  <si>
    <t xml:space="preserve">         Cálculos aproximados sin considerar: variación de la tensión, reactancia, </t>
  </si>
  <si>
    <t xml:space="preserve">       Cálculo aproximado 2: considerando las fases</t>
  </si>
  <si>
    <t xml:space="preserve">                Intensidades máximas en redes aéreas trenzadas en haz para distribución, aislamiento XLPE (ITC-BT-06)</t>
  </si>
  <si>
    <t xml:space="preserve">                    Intensidades máximas en redes trifásicas enterradas para distribución. Redes monofásicas x 1,225 (ITC-BT-07)</t>
  </si>
  <si>
    <t xml:space="preserve">          Intensidades máximas en redes trifásicas al aire para distribución. Redes monofásicas x 1,225 (ITC-BT-07)</t>
  </si>
  <si>
    <t xml:space="preserve">                Cables unipolares (Cu)</t>
  </si>
  <si>
    <t xml:space="preserve">              Cables tripolares (Cu)</t>
  </si>
  <si>
    <t>Conductores</t>
  </si>
  <si>
    <t xml:space="preserve">aislados en </t>
  </si>
  <si>
    <t>tubos empo-</t>
  </si>
  <si>
    <t xml:space="preserve">trados en </t>
  </si>
  <si>
    <t>3 x</t>
  </si>
  <si>
    <t>2 x</t>
  </si>
  <si>
    <t>o</t>
  </si>
  <si>
    <t>Cables</t>
  </si>
  <si>
    <t>multiconduc.</t>
  </si>
  <si>
    <t>en tubos</t>
  </si>
  <si>
    <t>empotrados</t>
  </si>
  <si>
    <t xml:space="preserve">paredes </t>
  </si>
  <si>
    <t>aislantes</t>
  </si>
  <si>
    <t xml:space="preserve">empotrados </t>
  </si>
  <si>
    <t xml:space="preserve">en paredes </t>
  </si>
  <si>
    <t>aislados en</t>
  </si>
  <si>
    <t>montaje su-</t>
  </si>
  <si>
    <t>perficial o</t>
  </si>
  <si>
    <t>en obra</t>
  </si>
  <si>
    <t>multiconduct.</t>
  </si>
  <si>
    <t>directamente</t>
  </si>
  <si>
    <t>sobre la</t>
  </si>
  <si>
    <t>tubos (2) en</t>
  </si>
  <si>
    <t>en tubos(2)</t>
  </si>
  <si>
    <t>superficial o</t>
  </si>
  <si>
    <t xml:space="preserve">en montaje </t>
  </si>
  <si>
    <t>pared (3)</t>
  </si>
  <si>
    <t>al aire libre(4)</t>
  </si>
  <si>
    <t>Distancia a la</t>
  </si>
  <si>
    <t>pared no</t>
  </si>
  <si>
    <t xml:space="preserve">inferior </t>
  </si>
  <si>
    <t>a 0.3D (5)</t>
  </si>
  <si>
    <t>unipolares</t>
  </si>
  <si>
    <t>unipolares en</t>
  </si>
  <si>
    <t>contacto mu-</t>
  </si>
  <si>
    <t>tuo(4).Distan-</t>
  </si>
  <si>
    <t>cia a la pared</t>
  </si>
  <si>
    <t xml:space="preserve">no inferior </t>
  </si>
  <si>
    <t>a D (5)</t>
  </si>
  <si>
    <t>EPR (1)</t>
  </si>
  <si>
    <t>separados</t>
  </si>
  <si>
    <t>mínimo D (5)</t>
  </si>
  <si>
    <t>PVC (1)</t>
  </si>
  <si>
    <t>Sección mm2</t>
  </si>
  <si>
    <t xml:space="preserve">     Instalaciones interiores :  1) a partir de 25 mm2 de sección.   2) incluyendo canales para instalaciones, canaletas y conductos de sección no circular</t>
  </si>
  <si>
    <t xml:space="preserve">                                          3) O en bandeja no perforada.  4) O en bandeja perforada. 5) D es el diámetro del cable.</t>
  </si>
  <si>
    <t xml:space="preserve">                         MÉTODO COMPLETO</t>
  </si>
  <si>
    <t xml:space="preserve">Cálculo aproximado 1    </t>
  </si>
  <si>
    <t xml:space="preserve">    </t>
  </si>
  <si>
    <t xml:space="preserve">              Fase R</t>
  </si>
  <si>
    <t xml:space="preserve">              Fase S</t>
  </si>
  <si>
    <t>-</t>
  </si>
  <si>
    <t xml:space="preserve"> Con neutro fiador de Almelec</t>
  </si>
  <si>
    <t xml:space="preserve">  Posada sobre fachada</t>
  </si>
  <si>
    <t>Tendida con fiador de acero</t>
  </si>
  <si>
    <t>54,6 (Alm)</t>
  </si>
  <si>
    <t>80 (Alm)</t>
  </si>
  <si>
    <t>Trz.mono.-Al</t>
  </si>
  <si>
    <t>Trz. trifá.-Al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</si>
</sst>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"/>
    <numFmt numFmtId="173" formatCode="0.00000"/>
    <numFmt numFmtId="174" formatCode="0000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Arial"/>
      <family val="0"/>
    </font>
    <font>
      <sz val="8"/>
      <name val="Verdana"/>
      <family val="0"/>
    </font>
    <font>
      <sz val="10"/>
      <name val="Arial"/>
      <family val="0"/>
    </font>
    <font>
      <sz val="9"/>
      <name val="Verdana"/>
      <family val="0"/>
    </font>
    <font>
      <sz val="14"/>
      <color indexed="10"/>
      <name val="Verdana"/>
      <family val="0"/>
    </font>
    <font>
      <sz val="10"/>
      <color indexed="10"/>
      <name val="Arial"/>
      <family val="0"/>
    </font>
    <font>
      <sz val="9"/>
      <color indexed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17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right"/>
    </xf>
    <xf numFmtId="0" fontId="6" fillId="33" borderId="19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right"/>
    </xf>
    <xf numFmtId="0" fontId="6" fillId="33" borderId="13" xfId="0" applyFont="1" applyFill="1" applyBorder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6" fillId="33" borderId="2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33" borderId="21" xfId="0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2" fontId="8" fillId="34" borderId="12" xfId="0" applyNumberFormat="1" applyFont="1" applyFill="1" applyBorder="1" applyAlignment="1">
      <alignment horizontal="center"/>
    </xf>
    <xf numFmtId="2" fontId="8" fillId="34" borderId="19" xfId="0" applyNumberFormat="1" applyFont="1" applyFill="1" applyBorder="1" applyAlignment="1">
      <alignment horizontal="center"/>
    </xf>
    <xf numFmtId="2" fontId="8" fillId="34" borderId="0" xfId="0" applyNumberFormat="1" applyFont="1" applyFill="1" applyBorder="1" applyAlignment="1">
      <alignment horizontal="center"/>
    </xf>
    <xf numFmtId="0" fontId="8" fillId="35" borderId="22" xfId="0" applyFont="1" applyFill="1" applyBorder="1" applyAlignment="1" applyProtection="1">
      <alignment horizontal="center"/>
      <protection locked="0"/>
    </xf>
    <xf numFmtId="0" fontId="8" fillId="35" borderId="20" xfId="0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>
      <alignment horizontal="right"/>
    </xf>
    <xf numFmtId="1" fontId="8" fillId="34" borderId="15" xfId="0" applyNumberFormat="1" applyFont="1" applyFill="1" applyBorder="1" applyAlignment="1">
      <alignment horizontal="center"/>
    </xf>
    <xf numFmtId="1" fontId="8" fillId="34" borderId="16" xfId="0" applyNumberFormat="1" applyFont="1" applyFill="1" applyBorder="1" applyAlignment="1">
      <alignment horizontal="center"/>
    </xf>
    <xf numFmtId="2" fontId="8" fillId="34" borderId="13" xfId="0" applyNumberFormat="1" applyFont="1" applyFill="1" applyBorder="1" applyAlignment="1">
      <alignment horizontal="center"/>
    </xf>
    <xf numFmtId="2" fontId="8" fillId="34" borderId="17" xfId="0" applyNumberFormat="1" applyFont="1" applyFill="1" applyBorder="1" applyAlignment="1">
      <alignment horizontal="center"/>
    </xf>
    <xf numFmtId="2" fontId="0" fillId="34" borderId="19" xfId="0" applyNumberFormat="1" applyFill="1" applyBorder="1" applyAlignment="1">
      <alignment/>
    </xf>
    <xf numFmtId="2" fontId="0" fillId="34" borderId="17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9" xfId="0" applyFill="1" applyBorder="1" applyAlignment="1">
      <alignment/>
    </xf>
    <xf numFmtId="1" fontId="0" fillId="34" borderId="15" xfId="0" applyNumberFormat="1" applyFill="1" applyBorder="1" applyAlignment="1">
      <alignment horizontal="center"/>
    </xf>
    <xf numFmtId="1" fontId="0" fillId="34" borderId="17" xfId="0" applyNumberForma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Continuous"/>
    </xf>
    <xf numFmtId="0" fontId="0" fillId="33" borderId="2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6" borderId="19" xfId="0" applyFill="1" applyBorder="1" applyAlignment="1">
      <alignment/>
    </xf>
    <xf numFmtId="0" fontId="0" fillId="36" borderId="17" xfId="0" applyFill="1" applyBorder="1" applyAlignment="1">
      <alignment/>
    </xf>
    <xf numFmtId="173" fontId="0" fillId="34" borderId="15" xfId="0" applyNumberForma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2" fontId="0" fillId="34" borderId="15" xfId="0" applyNumberFormat="1" applyFill="1" applyBorder="1" applyAlignment="1">
      <alignment/>
    </xf>
    <xf numFmtId="1" fontId="0" fillId="34" borderId="15" xfId="0" applyNumberFormat="1" applyFill="1" applyBorder="1" applyAlignment="1">
      <alignment/>
    </xf>
    <xf numFmtId="173" fontId="0" fillId="34" borderId="15" xfId="0" applyNumberFormat="1" applyFill="1" applyBorder="1" applyAlignment="1">
      <alignment/>
    </xf>
    <xf numFmtId="0" fontId="0" fillId="34" borderId="15" xfId="0" applyFill="1" applyBorder="1" applyAlignment="1">
      <alignment horizontal="center"/>
    </xf>
    <xf numFmtId="173" fontId="0" fillId="34" borderId="19" xfId="0" applyNumberFormat="1" applyFill="1" applyBorder="1" applyAlignment="1">
      <alignment horizontal="center"/>
    </xf>
    <xf numFmtId="2" fontId="0" fillId="34" borderId="19" xfId="0" applyNumberFormat="1" applyFill="1" applyBorder="1" applyAlignment="1">
      <alignment horizontal="center"/>
    </xf>
    <xf numFmtId="1" fontId="0" fillId="34" borderId="19" xfId="0" applyNumberFormat="1" applyFill="1" applyBorder="1" applyAlignment="1">
      <alignment horizontal="center"/>
    </xf>
    <xf numFmtId="173" fontId="0" fillId="34" borderId="19" xfId="0" applyNumberFormat="1" applyFill="1" applyBorder="1" applyAlignment="1">
      <alignment/>
    </xf>
    <xf numFmtId="0" fontId="0" fillId="34" borderId="19" xfId="0" applyFill="1" applyBorder="1" applyAlignment="1">
      <alignment horizontal="center"/>
    </xf>
    <xf numFmtId="173" fontId="0" fillId="34" borderId="17" xfId="0" applyNumberFormat="1" applyFill="1" applyBorder="1" applyAlignment="1">
      <alignment horizontal="center"/>
    </xf>
    <xf numFmtId="2" fontId="0" fillId="34" borderId="17" xfId="0" applyNumberFormat="1" applyFill="1" applyBorder="1" applyAlignment="1">
      <alignment horizontal="center"/>
    </xf>
    <xf numFmtId="173" fontId="0" fillId="34" borderId="17" xfId="0" applyNumberForma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37" borderId="16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 horizontal="center"/>
    </xf>
    <xf numFmtId="0" fontId="0" fillId="37" borderId="18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2" xfId="0" applyFill="1" applyBorder="1" applyAlignment="1">
      <alignment horizontal="center"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23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6" fillId="39" borderId="16" xfId="0" applyFont="1" applyFill="1" applyBorder="1" applyAlignment="1">
      <alignment horizontal="left"/>
    </xf>
    <xf numFmtId="0" fontId="6" fillId="39" borderId="1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6" fillId="33" borderId="22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36" borderId="20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8" fillId="35" borderId="15" xfId="0" applyFont="1" applyFill="1" applyBorder="1" applyAlignment="1" applyProtection="1">
      <alignment horizontal="center"/>
      <protection locked="0"/>
    </xf>
    <xf numFmtId="0" fontId="8" fillId="35" borderId="19" xfId="0" applyFont="1" applyFill="1" applyBorder="1" applyAlignment="1" applyProtection="1">
      <alignment horizontal="center"/>
      <protection locked="0"/>
    </xf>
    <xf numFmtId="0" fontId="8" fillId="35" borderId="17" xfId="0" applyFont="1" applyFill="1" applyBorder="1" applyAlignment="1" applyProtection="1">
      <alignment horizontal="center"/>
      <protection locked="0"/>
    </xf>
    <xf numFmtId="1" fontId="8" fillId="35" borderId="19" xfId="0" applyNumberFormat="1" applyFont="1" applyFill="1" applyBorder="1" applyAlignment="1" applyProtection="1">
      <alignment horizontal="center"/>
      <protection locked="0"/>
    </xf>
    <xf numFmtId="2" fontId="8" fillId="35" borderId="19" xfId="0" applyNumberFormat="1" applyFont="1" applyFill="1" applyBorder="1" applyAlignment="1" applyProtection="1">
      <alignment horizontal="center"/>
      <protection locked="0"/>
    </xf>
    <xf numFmtId="0" fontId="0" fillId="36" borderId="15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40" borderId="21" xfId="0" applyFill="1" applyBorder="1" applyAlignment="1">
      <alignment/>
    </xf>
    <xf numFmtId="0" fontId="0" fillId="40" borderId="23" xfId="0" applyFill="1" applyBorder="1" applyAlignment="1">
      <alignment/>
    </xf>
    <xf numFmtId="0" fontId="0" fillId="40" borderId="22" xfId="0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/>
    </xf>
    <xf numFmtId="2" fontId="0" fillId="34" borderId="26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172" fontId="0" fillId="34" borderId="15" xfId="0" applyNumberFormat="1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6" fillId="34" borderId="36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6" fillId="39" borderId="30" xfId="0" applyFont="1" applyFill="1" applyBorder="1" applyAlignment="1">
      <alignment horizontal="left"/>
    </xf>
    <xf numFmtId="0" fontId="6" fillId="39" borderId="25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center"/>
    </xf>
    <xf numFmtId="0" fontId="10" fillId="36" borderId="38" xfId="0" applyFont="1" applyFill="1" applyBorder="1" applyAlignment="1">
      <alignment/>
    </xf>
    <xf numFmtId="0" fontId="10" fillId="36" borderId="39" xfId="0" applyFont="1" applyFill="1" applyBorder="1" applyAlignment="1">
      <alignment/>
    </xf>
    <xf numFmtId="0" fontId="0" fillId="36" borderId="4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1" xfId="0" applyFill="1" applyBorder="1" applyAlignment="1">
      <alignment horizontal="center"/>
    </xf>
    <xf numFmtId="0" fontId="0" fillId="41" borderId="14" xfId="0" applyFill="1" applyBorder="1" applyAlignment="1">
      <alignment/>
    </xf>
    <xf numFmtId="0" fontId="0" fillId="41" borderId="21" xfId="0" applyFill="1" applyBorder="1" applyAlignment="1">
      <alignment/>
    </xf>
    <xf numFmtId="0" fontId="0" fillId="41" borderId="23" xfId="0" applyFill="1" applyBorder="1" applyAlignment="1">
      <alignment/>
    </xf>
    <xf numFmtId="0" fontId="9" fillId="33" borderId="23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12" fillId="0" borderId="21" xfId="0" applyFont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11" fillId="0" borderId="45" xfId="0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0" fillId="40" borderId="22" xfId="0" applyFill="1" applyBorder="1" applyAlignment="1">
      <alignment/>
    </xf>
    <xf numFmtId="0" fontId="6" fillId="33" borderId="23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4" borderId="20" xfId="0" applyNumberFormat="1" applyFont="1" applyFill="1" applyBorder="1" applyAlignment="1">
      <alignment/>
    </xf>
    <xf numFmtId="2" fontId="0" fillId="34" borderId="20" xfId="0" applyNumberFormat="1" applyFill="1" applyBorder="1" applyAlignment="1">
      <alignment/>
    </xf>
    <xf numFmtId="0" fontId="0" fillId="33" borderId="21" xfId="0" applyFont="1" applyFill="1" applyBorder="1" applyAlignment="1">
      <alignment horizontal="left"/>
    </xf>
    <xf numFmtId="0" fontId="0" fillId="33" borderId="19" xfId="0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" fontId="8" fillId="34" borderId="19" xfId="0" applyNumberFormat="1" applyFont="1" applyFill="1" applyBorder="1" applyAlignment="1" applyProtection="1">
      <alignment horizontal="center"/>
      <protection locked="0"/>
    </xf>
    <xf numFmtId="0" fontId="0" fillId="33" borderId="20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21" xfId="0" applyFill="1" applyBorder="1" applyAlignment="1">
      <alignment/>
    </xf>
    <xf numFmtId="0" fontId="9" fillId="34" borderId="24" xfId="0" applyFont="1" applyFill="1" applyBorder="1" applyAlignment="1">
      <alignment/>
    </xf>
    <xf numFmtId="0" fontId="0" fillId="34" borderId="51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42" borderId="45" xfId="0" applyFill="1" applyBorder="1" applyAlignment="1">
      <alignment/>
    </xf>
    <xf numFmtId="0" fontId="0" fillId="42" borderId="41" xfId="0" applyFill="1" applyBorder="1" applyAlignment="1">
      <alignment/>
    </xf>
    <xf numFmtId="0" fontId="0" fillId="42" borderId="42" xfId="0" applyFill="1" applyBorder="1" applyAlignment="1">
      <alignment/>
    </xf>
    <xf numFmtId="0" fontId="0" fillId="42" borderId="34" xfId="0" applyFill="1" applyBorder="1" applyAlignment="1">
      <alignment/>
    </xf>
    <xf numFmtId="0" fontId="0" fillId="42" borderId="35" xfId="0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42" borderId="14" xfId="0" applyFill="1" applyBorder="1" applyAlignment="1">
      <alignment/>
    </xf>
    <xf numFmtId="0" fontId="0" fillId="35" borderId="20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42" borderId="25" xfId="0" applyFill="1" applyBorder="1" applyAlignment="1">
      <alignment/>
    </xf>
    <xf numFmtId="0" fontId="0" fillId="42" borderId="58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6" fillId="33" borderId="66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left"/>
    </xf>
    <xf numFmtId="0" fontId="0" fillId="33" borderId="51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7" xfId="0" applyFill="1" applyBorder="1" applyAlignment="1">
      <alignment horizontal="right"/>
    </xf>
    <xf numFmtId="2" fontId="0" fillId="34" borderId="66" xfId="0" applyNumberFormat="1" applyFill="1" applyBorder="1" applyAlignment="1">
      <alignment horizontal="center"/>
    </xf>
    <xf numFmtId="0" fontId="0" fillId="33" borderId="46" xfId="0" applyFill="1" applyBorder="1" applyAlignment="1">
      <alignment horizontal="right"/>
    </xf>
    <xf numFmtId="2" fontId="0" fillId="34" borderId="67" xfId="0" applyNumberFormat="1" applyFill="1" applyBorder="1" applyAlignment="1">
      <alignment horizontal="center"/>
    </xf>
    <xf numFmtId="2" fontId="0" fillId="34" borderId="46" xfId="0" applyNumberFormat="1" applyFill="1" applyBorder="1" applyAlignment="1">
      <alignment horizontal="center"/>
    </xf>
    <xf numFmtId="2" fontId="0" fillId="34" borderId="53" xfId="0" applyNumberFormat="1" applyFill="1" applyBorder="1" applyAlignment="1">
      <alignment horizontal="center"/>
    </xf>
    <xf numFmtId="2" fontId="0" fillId="34" borderId="56" xfId="0" applyNumberFormat="1" applyFill="1" applyBorder="1" applyAlignment="1">
      <alignment horizontal="center"/>
    </xf>
    <xf numFmtId="2" fontId="0" fillId="34" borderId="44" xfId="0" applyNumberFormat="1" applyFill="1" applyBorder="1" applyAlignment="1">
      <alignment horizontal="center"/>
    </xf>
    <xf numFmtId="0" fontId="0" fillId="36" borderId="45" xfId="0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42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68" xfId="0" applyFill="1" applyBorder="1" applyAlignment="1">
      <alignment/>
    </xf>
    <xf numFmtId="0" fontId="0" fillId="33" borderId="58" xfId="0" applyFill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40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33" borderId="16" xfId="0" applyFon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4" borderId="55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2" fontId="0" fillId="34" borderId="14" xfId="0" applyNumberForma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DD0806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uloSecciones_EjCORREGI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A257"/>
  <sheetViews>
    <sheetView tabSelected="1" workbookViewId="0" topLeftCell="AC1">
      <selection activeCell="AM7" sqref="AM7"/>
    </sheetView>
  </sheetViews>
  <sheetFormatPr defaultColWidth="11.00390625" defaultRowHeight="12.75" outlineLevelRow="1"/>
  <cols>
    <col min="1" max="1" width="12.25390625" style="0" customWidth="1"/>
    <col min="2" max="2" width="11.375" style="0" customWidth="1"/>
    <col min="3" max="3" width="11.75390625" style="0" customWidth="1"/>
    <col min="7" max="7" width="12.00390625" style="0" customWidth="1"/>
    <col min="16" max="19" width="12.375" style="0" customWidth="1"/>
    <col min="20" max="20" width="14.75390625" style="0" customWidth="1"/>
    <col min="79" max="80" width="10.75390625" style="83" customWidth="1"/>
    <col min="105" max="105" width="17.25390625" style="0" customWidth="1"/>
  </cols>
  <sheetData>
    <row r="1" ht="13.5" thickBot="1"/>
    <row r="2" spans="1:12" ht="19.5" outlineLevel="1" thickBot="1" thickTop="1">
      <c r="A2" s="81"/>
      <c r="B2" s="10"/>
      <c r="C2" s="3" t="s">
        <v>96</v>
      </c>
      <c r="D2" s="114" t="s">
        <v>26</v>
      </c>
      <c r="F2" s="158" t="s">
        <v>66</v>
      </c>
      <c r="G2" s="159"/>
      <c r="H2" s="159"/>
      <c r="I2" s="159"/>
      <c r="J2" s="159"/>
      <c r="K2" s="159"/>
      <c r="L2" s="160"/>
    </row>
    <row r="3" spans="1:22" ht="13.5" outlineLevel="1" thickTop="1">
      <c r="A3" s="82"/>
      <c r="B3" s="102"/>
      <c r="C3" s="103" t="s">
        <v>68</v>
      </c>
      <c r="D3" s="115" t="s">
        <v>26</v>
      </c>
      <c r="Q3" s="253" t="s">
        <v>234</v>
      </c>
      <c r="R3" s="254"/>
      <c r="S3" s="254"/>
      <c r="T3" s="254"/>
      <c r="U3" s="254"/>
      <c r="V3" s="255"/>
    </row>
    <row r="4" spans="1:22" ht="12.75">
      <c r="A4" s="21"/>
      <c r="B4" s="14"/>
      <c r="C4" s="6" t="s">
        <v>67</v>
      </c>
      <c r="D4" s="116" t="s">
        <v>219</v>
      </c>
      <c r="F4" s="51"/>
      <c r="G4" s="52"/>
      <c r="H4" s="52"/>
      <c r="I4" s="52"/>
      <c r="J4" s="52" t="s">
        <v>14</v>
      </c>
      <c r="K4" s="52"/>
      <c r="L4" s="52"/>
      <c r="M4" s="52"/>
      <c r="N4" s="52"/>
      <c r="O4" s="105"/>
      <c r="Q4" s="256" t="s">
        <v>229</v>
      </c>
      <c r="R4" s="257"/>
      <c r="S4" s="257"/>
      <c r="T4" s="257"/>
      <c r="U4" s="257"/>
      <c r="V4" s="258"/>
    </row>
    <row r="5" spans="2:26" ht="12.75">
      <c r="B5" s="4"/>
      <c r="C5" s="12" t="s">
        <v>80</v>
      </c>
      <c r="D5" s="117">
        <v>400</v>
      </c>
      <c r="E5" s="7"/>
      <c r="F5" s="9"/>
      <c r="G5" s="2" t="s">
        <v>61</v>
      </c>
      <c r="H5" s="18" t="s">
        <v>61</v>
      </c>
      <c r="I5" s="10" t="s">
        <v>61</v>
      </c>
      <c r="J5" s="18" t="s">
        <v>61</v>
      </c>
      <c r="K5" s="9"/>
      <c r="L5" s="18" t="s">
        <v>220</v>
      </c>
      <c r="M5" s="18" t="s">
        <v>220</v>
      </c>
      <c r="N5" s="11" t="s">
        <v>220</v>
      </c>
      <c r="O5" s="11"/>
      <c r="Q5" s="242" t="s">
        <v>36</v>
      </c>
      <c r="R5" s="241"/>
      <c r="S5" s="133" t="s">
        <v>235</v>
      </c>
      <c r="T5" s="128"/>
      <c r="U5" s="52"/>
      <c r="V5" s="243"/>
      <c r="X5" s="42" t="s">
        <v>60</v>
      </c>
      <c r="Y5" s="47"/>
      <c r="Z5" s="98"/>
    </row>
    <row r="6" spans="1:26" ht="12.75">
      <c r="A6" s="8"/>
      <c r="B6" s="4"/>
      <c r="C6" s="12" t="s">
        <v>81</v>
      </c>
      <c r="D6" s="193">
        <f>D5/SQRT(3)</f>
        <v>230.94010767585033</v>
      </c>
      <c r="E6" s="7"/>
      <c r="F6" s="13"/>
      <c r="G6" s="5" t="s">
        <v>62</v>
      </c>
      <c r="H6" s="19" t="s">
        <v>63</v>
      </c>
      <c r="I6" s="14" t="s">
        <v>64</v>
      </c>
      <c r="J6" s="19" t="s">
        <v>65</v>
      </c>
      <c r="K6" s="13"/>
      <c r="L6" s="19" t="s">
        <v>221</v>
      </c>
      <c r="M6" s="19" t="s">
        <v>222</v>
      </c>
      <c r="N6" s="15" t="s">
        <v>223</v>
      </c>
      <c r="O6" s="15" t="s">
        <v>15</v>
      </c>
      <c r="Q6" s="244"/>
      <c r="R6" s="259" t="s">
        <v>94</v>
      </c>
      <c r="S6" s="134" t="s">
        <v>30</v>
      </c>
      <c r="T6" s="127" t="s">
        <v>31</v>
      </c>
      <c r="U6" s="127" t="s">
        <v>97</v>
      </c>
      <c r="V6" s="201" t="s">
        <v>15</v>
      </c>
      <c r="X6" s="185" t="s">
        <v>57</v>
      </c>
      <c r="Y6" s="181"/>
      <c r="Z6" s="183">
        <f>DA102/1000</f>
        <v>0</v>
      </c>
    </row>
    <row r="7" spans="1:26" ht="12.75">
      <c r="A7" s="8"/>
      <c r="B7" s="4"/>
      <c r="C7" s="12" t="s">
        <v>95</v>
      </c>
      <c r="D7" s="118"/>
      <c r="E7" s="7"/>
      <c r="F7" s="16" t="s">
        <v>92</v>
      </c>
      <c r="G7" s="27">
        <f>DCOUNT(FASE,,G5:G6)-J7</f>
        <v>0</v>
      </c>
      <c r="H7" s="28">
        <f>DCOUNT(FASE,,H5:H6)</f>
        <v>0</v>
      </c>
      <c r="I7" s="29">
        <f>DCOUNT(FASE,,I5:I6)</f>
        <v>0</v>
      </c>
      <c r="J7" s="28">
        <f>DCOUNT(FASE,,J5:J6)</f>
        <v>0</v>
      </c>
      <c r="K7" s="16" t="s">
        <v>87</v>
      </c>
      <c r="L7" s="36">
        <f>IF(A20="",0,$D$5-MIN(BE20:BE100))</f>
        <v>0</v>
      </c>
      <c r="M7" s="36">
        <f>IF(A20="",0,$D$5-MIN(BF20:BF100))</f>
        <v>0</v>
      </c>
      <c r="N7" s="37">
        <f>IF(A20="",0,$D$5-MIN(BG20:BG100))</f>
        <v>0</v>
      </c>
      <c r="O7" s="37">
        <f>MAX(L7:N7)</f>
        <v>0</v>
      </c>
      <c r="Q7" s="245" t="s">
        <v>91</v>
      </c>
      <c r="R7" s="132">
        <f>MAX(BL20:BL100)</f>
        <v>0</v>
      </c>
      <c r="S7" s="135">
        <f>MAX(CU20:CU100)</f>
        <v>0</v>
      </c>
      <c r="T7" s="67">
        <f>MAX(CV20:CV100)</f>
        <v>0</v>
      </c>
      <c r="U7" s="129">
        <f>MAX(CW20:CW100)</f>
        <v>0</v>
      </c>
      <c r="V7" s="246">
        <f>MAX(S7:U7)</f>
        <v>0</v>
      </c>
      <c r="X7" s="182" t="s">
        <v>58</v>
      </c>
      <c r="Y7" s="181"/>
      <c r="Z7" s="183">
        <f>IF(J8=0,0,Z6*100/J8)</f>
        <v>0</v>
      </c>
    </row>
    <row r="8" spans="1:26" ht="13.5" thickBot="1">
      <c r="A8" s="8"/>
      <c r="B8" s="130"/>
      <c r="C8" s="104" t="s">
        <v>69</v>
      </c>
      <c r="D8" s="157">
        <v>50</v>
      </c>
      <c r="E8" s="7"/>
      <c r="F8" s="17" t="s">
        <v>90</v>
      </c>
      <c r="G8" s="30">
        <f>IF(A20="",0,D6*AJ20/1000)</f>
        <v>0</v>
      </c>
      <c r="H8" s="31">
        <f>IF(A20="",0,D6*(-0.5*AM20-SQRT(3)/2*AN20)/1000)</f>
        <v>0</v>
      </c>
      <c r="I8" s="32">
        <f>IF(A20="",0,D6*(-0.5*AP20+SQRT(3)/2*AQ20)/1000)</f>
        <v>0</v>
      </c>
      <c r="J8" s="31">
        <f>G8+H8+I8</f>
        <v>0</v>
      </c>
      <c r="K8" s="20" t="s">
        <v>88</v>
      </c>
      <c r="L8" s="38">
        <f>100*L7/$D$5</f>
        <v>0</v>
      </c>
      <c r="M8" s="38">
        <f>100*M7/$D$5</f>
        <v>0</v>
      </c>
      <c r="N8" s="39">
        <f>100*N7/$D$5</f>
        <v>0</v>
      </c>
      <c r="O8" s="39">
        <f>MAX(L8:N8)</f>
        <v>0</v>
      </c>
      <c r="Q8" s="247" t="s">
        <v>85</v>
      </c>
      <c r="R8" s="248">
        <f>MAX(BN20:BN100)</f>
        <v>0</v>
      </c>
      <c r="S8" s="249">
        <f>MAX(BQ20:BQ100)</f>
        <v>0</v>
      </c>
      <c r="T8" s="250">
        <f>MAX(BS20:BS100)</f>
        <v>0</v>
      </c>
      <c r="U8" s="251">
        <f>MAX(BU20:BU100)</f>
        <v>0</v>
      </c>
      <c r="V8" s="252">
        <f>MAX(S8:U8)</f>
        <v>0</v>
      </c>
      <c r="X8" s="182" t="s">
        <v>59</v>
      </c>
      <c r="Y8" s="181"/>
      <c r="Z8" s="184">
        <f>IF(J8=0,0,(J8-Z6)*100/J8)</f>
        <v>0</v>
      </c>
    </row>
    <row r="9" spans="1:10" ht="13.5" thickTop="1">
      <c r="A9" s="8"/>
      <c r="B9" s="5"/>
      <c r="C9" s="6" t="s">
        <v>28</v>
      </c>
      <c r="D9" s="34" t="s">
        <v>219</v>
      </c>
      <c r="E9" s="7"/>
      <c r="F9" s="17" t="s">
        <v>217</v>
      </c>
      <c r="G9" s="30">
        <f>IF(A20="",0,-D6*AK20/1000)</f>
        <v>0</v>
      </c>
      <c r="H9" s="31">
        <f>IF(A20="",0,D6*(0.5*AN20-SQRT(3)/2*AM20)/1000)</f>
        <v>0</v>
      </c>
      <c r="I9" s="32">
        <f>IF(A20="",0,D6*(0.5*AQ20+SQRT(3)/2*AP20)/1000)</f>
        <v>0</v>
      </c>
      <c r="J9" s="31">
        <f>G9+H9+I9</f>
        <v>0</v>
      </c>
    </row>
    <row r="10" spans="6:19" ht="12.75">
      <c r="F10" s="17" t="s">
        <v>185</v>
      </c>
      <c r="G10" s="30">
        <f>SQRT(G8^2+G9^2)</f>
        <v>0</v>
      </c>
      <c r="H10" s="31">
        <f>SQRT(H8^2+H9^2)</f>
        <v>0</v>
      </c>
      <c r="I10" s="32">
        <f>SQRT(I8^2+I9^2)</f>
        <v>0</v>
      </c>
      <c r="J10" s="31">
        <f>SQRT(J8^2+J9^2)</f>
        <v>0</v>
      </c>
      <c r="L10" s="42"/>
      <c r="M10" s="43"/>
      <c r="N10" s="43" t="s">
        <v>189</v>
      </c>
      <c r="O10" s="67">
        <f>3*MAX(G10:I10)</f>
        <v>0</v>
      </c>
      <c r="P10" s="42"/>
      <c r="Q10" s="47"/>
      <c r="R10" s="43" t="s">
        <v>218</v>
      </c>
      <c r="S10" s="53"/>
    </row>
    <row r="11" spans="2:23" ht="12.75">
      <c r="B11" s="51"/>
      <c r="C11" s="104" t="s">
        <v>70</v>
      </c>
      <c r="D11" s="105"/>
      <c r="F11" s="17" t="s">
        <v>91</v>
      </c>
      <c r="G11" s="30">
        <f>MAX(CO20:CO100)</f>
        <v>0</v>
      </c>
      <c r="H11" s="31">
        <f>MAX(CP20:CP100)</f>
        <v>0</v>
      </c>
      <c r="I11" s="32">
        <f>MAX(CQ20:CQ100)</f>
        <v>0</v>
      </c>
      <c r="J11" s="31">
        <f>MAX(G11:I11)</f>
        <v>0</v>
      </c>
      <c r="L11" s="44"/>
      <c r="M11" s="45"/>
      <c r="N11" s="188" t="s">
        <v>155</v>
      </c>
      <c r="O11" s="78">
        <f>IF(A20="",0,3*D6*J11/1000)</f>
        <v>0</v>
      </c>
      <c r="P11" s="48"/>
      <c r="Q11" s="49"/>
      <c r="R11" s="50" t="s">
        <v>181</v>
      </c>
      <c r="S11" s="54"/>
      <c r="W11" s="22"/>
    </row>
    <row r="12" spans="2:19" ht="13.5" thickBot="1">
      <c r="B12" s="106" t="s">
        <v>166</v>
      </c>
      <c r="C12" s="106"/>
      <c r="D12" s="106"/>
      <c r="F12" s="17" t="s">
        <v>86</v>
      </c>
      <c r="G12" s="30">
        <f>IF(A20="",0,$D$6-MIN(BB20:BB100))</f>
        <v>0</v>
      </c>
      <c r="H12" s="31">
        <f>IF(A20="",0,$D$6-MIN(BC20:BC100))</f>
        <v>0</v>
      </c>
      <c r="I12" s="32">
        <f>IF(A20="",0,$D$6-MIN(BD20:BD100))</f>
        <v>0</v>
      </c>
      <c r="J12" s="31">
        <f>MAX(G12:I12)</f>
        <v>0</v>
      </c>
      <c r="L12" s="44"/>
      <c r="M12" s="45"/>
      <c r="N12" s="46" t="s">
        <v>216</v>
      </c>
      <c r="O12" s="78">
        <f>J9</f>
        <v>0</v>
      </c>
      <c r="P12" s="42" t="s">
        <v>191</v>
      </c>
      <c r="Q12" s="47"/>
      <c r="R12" s="151"/>
      <c r="S12" s="146">
        <f>IF(S10="","",S11*D5^2/100/(S10*1000))</f>
      </c>
    </row>
    <row r="13" spans="2:29" ht="15" thickBot="1" thickTop="1">
      <c r="B13" s="107" t="s">
        <v>128</v>
      </c>
      <c r="C13" s="107"/>
      <c r="D13" s="107"/>
      <c r="F13" s="17" t="s">
        <v>85</v>
      </c>
      <c r="G13" s="30">
        <f>100*G12/$D$6</f>
        <v>0</v>
      </c>
      <c r="H13" s="30">
        <f>100*H12/$D$6</f>
        <v>0</v>
      </c>
      <c r="I13" s="30">
        <f>100*I12/$D$6</f>
        <v>0</v>
      </c>
      <c r="J13" s="30">
        <f>100*J12/$D$6</f>
        <v>0</v>
      </c>
      <c r="K13" s="148"/>
      <c r="L13" s="149"/>
      <c r="M13" s="149"/>
      <c r="N13" s="149"/>
      <c r="O13" s="149"/>
      <c r="P13" s="149" t="s">
        <v>0</v>
      </c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50"/>
    </row>
    <row r="14" spans="2:29" ht="15" thickBot="1" thickTop="1">
      <c r="B14" s="108" t="s">
        <v>167</v>
      </c>
      <c r="C14" s="108"/>
      <c r="D14" s="108"/>
      <c r="F14" s="35" t="s">
        <v>201</v>
      </c>
      <c r="G14" s="33" t="s">
        <v>219</v>
      </c>
      <c r="H14" s="34" t="s">
        <v>219</v>
      </c>
      <c r="I14" s="33" t="s">
        <v>219</v>
      </c>
      <c r="J14" s="141" t="s">
        <v>89</v>
      </c>
      <c r="K14" s="19">
        <v>1.5</v>
      </c>
      <c r="L14" s="19">
        <v>2.5</v>
      </c>
      <c r="M14" s="19">
        <v>4</v>
      </c>
      <c r="N14" s="19">
        <v>6</v>
      </c>
      <c r="O14" s="19">
        <v>10</v>
      </c>
      <c r="P14" s="19">
        <v>16</v>
      </c>
      <c r="Q14" s="19">
        <v>25</v>
      </c>
      <c r="R14" s="19">
        <v>35</v>
      </c>
      <c r="S14" s="19">
        <v>50</v>
      </c>
      <c r="T14" s="19">
        <v>70</v>
      </c>
      <c r="U14" s="19">
        <v>95</v>
      </c>
      <c r="V14" s="19">
        <v>120</v>
      </c>
      <c r="W14" s="19">
        <v>150</v>
      </c>
      <c r="X14" s="19">
        <v>185</v>
      </c>
      <c r="Y14" s="19">
        <v>240</v>
      </c>
      <c r="Z14" s="19">
        <v>300</v>
      </c>
      <c r="AA14" s="19">
        <v>400</v>
      </c>
      <c r="AB14" s="19">
        <v>500</v>
      </c>
      <c r="AC14" s="147">
        <v>630</v>
      </c>
    </row>
    <row r="15" spans="7:36" ht="13.5" thickTop="1">
      <c r="G15" s="177" t="s">
        <v>108</v>
      </c>
      <c r="H15" s="173"/>
      <c r="I15" s="174"/>
      <c r="J15" s="142" t="s">
        <v>4</v>
      </c>
      <c r="K15" s="57">
        <f>SUMIF(Sección_fase,K14,Long_uni_Cu)</f>
        <v>0</v>
      </c>
      <c r="L15" s="57">
        <f>SUMIF(Sección_fase,L14,Long_uni_Cu)</f>
        <v>0</v>
      </c>
      <c r="M15" s="57">
        <f aca="true" t="shared" si="0" ref="M15:AC15">SUMIF(Sección_fase,M14,Long_uni_Cu)</f>
        <v>0</v>
      </c>
      <c r="N15" s="57">
        <f t="shared" si="0"/>
        <v>0</v>
      </c>
      <c r="O15" s="57">
        <f t="shared" si="0"/>
        <v>0</v>
      </c>
      <c r="P15" s="57">
        <f t="shared" si="0"/>
        <v>0</v>
      </c>
      <c r="Q15" s="57">
        <f t="shared" si="0"/>
        <v>0</v>
      </c>
      <c r="R15" s="57">
        <f t="shared" si="0"/>
        <v>0</v>
      </c>
      <c r="S15" s="57">
        <f t="shared" si="0"/>
        <v>0</v>
      </c>
      <c r="T15" s="57">
        <f t="shared" si="0"/>
        <v>0</v>
      </c>
      <c r="U15" s="57">
        <f t="shared" si="0"/>
        <v>0</v>
      </c>
      <c r="V15" s="57">
        <f t="shared" si="0"/>
        <v>0</v>
      </c>
      <c r="W15" s="57">
        <f t="shared" si="0"/>
        <v>0</v>
      </c>
      <c r="X15" s="57">
        <f t="shared" si="0"/>
        <v>0</v>
      </c>
      <c r="Y15" s="57">
        <f t="shared" si="0"/>
        <v>0</v>
      </c>
      <c r="Z15" s="57">
        <f t="shared" si="0"/>
        <v>0</v>
      </c>
      <c r="AA15" s="57">
        <f t="shared" si="0"/>
        <v>0</v>
      </c>
      <c r="AB15" s="57">
        <f t="shared" si="0"/>
        <v>0</v>
      </c>
      <c r="AC15" s="153">
        <f t="shared" si="0"/>
        <v>0</v>
      </c>
      <c r="AD15" s="154"/>
      <c r="AJ15" s="25"/>
    </row>
    <row r="16" spans="7:79" ht="13.5" thickBot="1">
      <c r="G16" s="178" t="s">
        <v>109</v>
      </c>
      <c r="H16" s="175"/>
      <c r="I16" s="176"/>
      <c r="J16" s="143" t="s">
        <v>5</v>
      </c>
      <c r="K16" s="57">
        <f>SUMIF(Sección_fase,K14,Long_uni_Al)</f>
        <v>0</v>
      </c>
      <c r="L16" s="57">
        <f>SUMIF(Sección_fase,L14,Long_uni_Al)</f>
        <v>0</v>
      </c>
      <c r="M16" s="57">
        <f aca="true" t="shared" si="1" ref="M16:AC16">SUMIF(Sección_fase,M14,Long_uni_Al)</f>
        <v>0</v>
      </c>
      <c r="N16" s="57">
        <f t="shared" si="1"/>
        <v>0</v>
      </c>
      <c r="O16" s="57">
        <f t="shared" si="1"/>
        <v>0</v>
      </c>
      <c r="P16" s="57">
        <f t="shared" si="1"/>
        <v>0</v>
      </c>
      <c r="Q16" s="57">
        <f t="shared" si="1"/>
        <v>0</v>
      </c>
      <c r="R16" s="57">
        <f t="shared" si="1"/>
        <v>0</v>
      </c>
      <c r="S16" s="57">
        <f t="shared" si="1"/>
        <v>0</v>
      </c>
      <c r="T16" s="57">
        <f t="shared" si="1"/>
        <v>0</v>
      </c>
      <c r="U16" s="57">
        <f t="shared" si="1"/>
        <v>0</v>
      </c>
      <c r="V16" s="57">
        <f t="shared" si="1"/>
        <v>0</v>
      </c>
      <c r="W16" s="57">
        <f t="shared" si="1"/>
        <v>0</v>
      </c>
      <c r="X16" s="57">
        <f t="shared" si="1"/>
        <v>0</v>
      </c>
      <c r="Y16" s="57">
        <f t="shared" si="1"/>
        <v>0</v>
      </c>
      <c r="Z16" s="57">
        <f t="shared" si="1"/>
        <v>0</v>
      </c>
      <c r="AA16" s="57">
        <f t="shared" si="1"/>
        <v>0</v>
      </c>
      <c r="AB16" s="57">
        <f t="shared" si="1"/>
        <v>0</v>
      </c>
      <c r="AC16" s="153">
        <f t="shared" si="1"/>
        <v>0</v>
      </c>
      <c r="AD16" s="154"/>
      <c r="BV16" s="172" t="s">
        <v>132</v>
      </c>
      <c r="BW16" s="170"/>
      <c r="BX16" s="170"/>
      <c r="BY16" s="170"/>
      <c r="BZ16" s="170"/>
      <c r="CA16" s="171"/>
    </row>
    <row r="17" spans="10:105" ht="13.5" thickTop="1">
      <c r="J17" s="144" t="s">
        <v>6</v>
      </c>
      <c r="K17" s="139">
        <f>SUMIF(Sección_fase,K14,Long_tri_Cu)</f>
        <v>0</v>
      </c>
      <c r="L17" s="139">
        <f>SUMIF(Sección_fase,L14,Long_tri_Cu)</f>
        <v>0</v>
      </c>
      <c r="M17" s="139">
        <f aca="true" t="shared" si="2" ref="M17:AC17">SUMIF(Sección_fase,M14,Long_tri_Cu)</f>
        <v>0</v>
      </c>
      <c r="N17" s="139">
        <f t="shared" si="2"/>
        <v>0</v>
      </c>
      <c r="O17" s="139">
        <f t="shared" si="2"/>
        <v>0</v>
      </c>
      <c r="P17" s="139">
        <f t="shared" si="2"/>
        <v>0</v>
      </c>
      <c r="Q17" s="139">
        <f t="shared" si="2"/>
        <v>0</v>
      </c>
      <c r="R17" s="139">
        <f t="shared" si="2"/>
        <v>0</v>
      </c>
      <c r="S17" s="139">
        <f t="shared" si="2"/>
        <v>0</v>
      </c>
      <c r="T17" s="139">
        <f t="shared" si="2"/>
        <v>0</v>
      </c>
      <c r="U17" s="139">
        <f t="shared" si="2"/>
        <v>0</v>
      </c>
      <c r="V17" s="139">
        <f t="shared" si="2"/>
        <v>0</v>
      </c>
      <c r="W17" s="139">
        <f t="shared" si="2"/>
        <v>0</v>
      </c>
      <c r="X17" s="139">
        <f t="shared" si="2"/>
        <v>0</v>
      </c>
      <c r="Y17" s="139">
        <f t="shared" si="2"/>
        <v>0</v>
      </c>
      <c r="Z17" s="139">
        <f t="shared" si="2"/>
        <v>0</v>
      </c>
      <c r="AA17" s="139">
        <f t="shared" si="2"/>
        <v>0</v>
      </c>
      <c r="AB17" s="139">
        <f t="shared" si="2"/>
        <v>0</v>
      </c>
      <c r="AC17" s="139">
        <f t="shared" si="2"/>
        <v>0</v>
      </c>
      <c r="AD17" s="155" t="s">
        <v>16</v>
      </c>
      <c r="AE17" s="100"/>
      <c r="AF17" s="42" t="s">
        <v>287</v>
      </c>
      <c r="AG17" s="47"/>
      <c r="AH17" s="47"/>
      <c r="AI17" s="98"/>
      <c r="AJ17" s="260" t="s">
        <v>55</v>
      </c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10"/>
      <c r="AV17" s="265" t="s">
        <v>153</v>
      </c>
      <c r="AW17" s="266"/>
      <c r="AX17" s="266"/>
      <c r="AY17" s="266"/>
      <c r="AZ17" s="266"/>
      <c r="BA17" s="266"/>
      <c r="BB17" s="266"/>
      <c r="BC17" s="266"/>
      <c r="BD17" s="267"/>
      <c r="BE17" s="121"/>
      <c r="BF17" s="123" t="s">
        <v>164</v>
      </c>
      <c r="BG17" s="122"/>
      <c r="BH17" s="121"/>
      <c r="BI17" s="179"/>
      <c r="BJ17" s="122"/>
      <c r="BK17" s="86"/>
      <c r="BL17" s="124"/>
      <c r="BM17" s="87" t="s">
        <v>288</v>
      </c>
      <c r="BN17" s="88"/>
      <c r="BO17" s="161"/>
      <c r="BP17" s="161"/>
      <c r="BQ17" s="161"/>
      <c r="BR17" s="162" t="s">
        <v>25</v>
      </c>
      <c r="BS17" s="161"/>
      <c r="BT17" s="161"/>
      <c r="BU17" s="161"/>
      <c r="BV17" s="92"/>
      <c r="BW17" s="93"/>
      <c r="BX17" s="94" t="s">
        <v>176</v>
      </c>
      <c r="BY17" s="93"/>
      <c r="BZ17" s="93"/>
      <c r="CA17" s="168"/>
      <c r="CC17" s="42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 t="s">
        <v>131</v>
      </c>
      <c r="CT17" s="47"/>
      <c r="CU17" s="47"/>
      <c r="CV17" s="47"/>
      <c r="CW17" s="47"/>
      <c r="CX17" s="47"/>
      <c r="CY17" s="47"/>
      <c r="CZ17" s="47"/>
      <c r="DA17" s="98"/>
    </row>
    <row r="18" spans="10:105" ht="13.5" thickBot="1">
      <c r="J18" s="145" t="s">
        <v>3</v>
      </c>
      <c r="K18" s="152">
        <f>SUMIF(Sección_fase,K14,Long_tri_Al)</f>
        <v>0</v>
      </c>
      <c r="L18" s="152">
        <f>SUMIF(Sección_fase,L14,Long_tri_Al)</f>
        <v>0</v>
      </c>
      <c r="M18" s="152">
        <f aca="true" t="shared" si="3" ref="M18:AC18">SUMIF(Sección_fase,M14,Long_tri_Al)</f>
        <v>0</v>
      </c>
      <c r="N18" s="152">
        <f t="shared" si="3"/>
        <v>0</v>
      </c>
      <c r="O18" s="152">
        <f t="shared" si="3"/>
        <v>0</v>
      </c>
      <c r="P18" s="152">
        <f t="shared" si="3"/>
        <v>0</v>
      </c>
      <c r="Q18" s="152">
        <f t="shared" si="3"/>
        <v>0</v>
      </c>
      <c r="R18" s="152">
        <f t="shared" si="3"/>
        <v>0</v>
      </c>
      <c r="S18" s="152">
        <f t="shared" si="3"/>
        <v>0</v>
      </c>
      <c r="T18" s="152">
        <f t="shared" si="3"/>
        <v>0</v>
      </c>
      <c r="U18" s="152">
        <f t="shared" si="3"/>
        <v>0</v>
      </c>
      <c r="V18" s="152">
        <f t="shared" si="3"/>
        <v>0</v>
      </c>
      <c r="W18" s="152">
        <f t="shared" si="3"/>
        <v>0</v>
      </c>
      <c r="X18" s="152">
        <f t="shared" si="3"/>
        <v>0</v>
      </c>
      <c r="Y18" s="152">
        <f t="shared" si="3"/>
        <v>0</v>
      </c>
      <c r="Z18" s="152">
        <f t="shared" si="3"/>
        <v>0</v>
      </c>
      <c r="AA18" s="152">
        <f t="shared" si="3"/>
        <v>0</v>
      </c>
      <c r="AB18" s="152">
        <f t="shared" si="3"/>
        <v>0</v>
      </c>
      <c r="AC18" s="152">
        <f t="shared" si="3"/>
        <v>0</v>
      </c>
      <c r="AD18" s="156" t="s">
        <v>110</v>
      </c>
      <c r="AE18" s="101"/>
      <c r="AF18" s="44"/>
      <c r="AG18" s="45"/>
      <c r="AH18" s="14" t="s">
        <v>13</v>
      </c>
      <c r="AI18" s="99"/>
      <c r="AJ18" s="262" t="s">
        <v>21</v>
      </c>
      <c r="AK18" s="263"/>
      <c r="AL18" s="58"/>
      <c r="AM18" s="262" t="s">
        <v>22</v>
      </c>
      <c r="AN18" s="263"/>
      <c r="AO18" s="11"/>
      <c r="AP18" s="262" t="s">
        <v>23</v>
      </c>
      <c r="AQ18" s="263"/>
      <c r="AR18" s="11"/>
      <c r="AS18" s="264" t="s">
        <v>140</v>
      </c>
      <c r="AT18" s="262"/>
      <c r="AU18" s="11"/>
      <c r="AV18" s="268" t="s">
        <v>154</v>
      </c>
      <c r="AW18" s="264"/>
      <c r="AX18" s="264" t="s">
        <v>32</v>
      </c>
      <c r="AY18" s="264"/>
      <c r="AZ18" s="264" t="s">
        <v>33</v>
      </c>
      <c r="BA18" s="262"/>
      <c r="BB18" s="264" t="s">
        <v>34</v>
      </c>
      <c r="BC18" s="264"/>
      <c r="BD18" s="264"/>
      <c r="BE18" s="264" t="s">
        <v>34</v>
      </c>
      <c r="BF18" s="264"/>
      <c r="BG18" s="262"/>
      <c r="BH18" s="130"/>
      <c r="BI18" s="131" t="s">
        <v>190</v>
      </c>
      <c r="BJ18" s="180"/>
      <c r="BK18" s="89"/>
      <c r="BL18" s="125"/>
      <c r="BM18" s="90" t="s">
        <v>289</v>
      </c>
      <c r="BN18" s="91"/>
      <c r="BO18" s="163"/>
      <c r="BP18" s="164" t="s">
        <v>290</v>
      </c>
      <c r="BQ18" s="165"/>
      <c r="BR18" s="164" t="s">
        <v>291</v>
      </c>
      <c r="BS18" s="165"/>
      <c r="BT18" s="164" t="s">
        <v>24</v>
      </c>
      <c r="BU18" s="165"/>
      <c r="BV18" s="95"/>
      <c r="BW18" s="96" t="s">
        <v>130</v>
      </c>
      <c r="BX18" s="92"/>
      <c r="BY18" s="97" t="s">
        <v>129</v>
      </c>
      <c r="BZ18" s="167" t="s">
        <v>7</v>
      </c>
      <c r="CA18" s="169"/>
      <c r="CC18" s="51"/>
      <c r="CD18" s="52"/>
      <c r="CE18" s="52" t="s">
        <v>230</v>
      </c>
      <c r="CF18" s="52"/>
      <c r="CG18" s="52"/>
      <c r="CH18" s="52"/>
      <c r="CI18" s="105"/>
      <c r="CJ18" s="51"/>
      <c r="CK18" s="52" t="s">
        <v>231</v>
      </c>
      <c r="CL18" s="52"/>
      <c r="CM18" s="105"/>
      <c r="CN18" s="194" t="s">
        <v>232</v>
      </c>
      <c r="CO18" s="51"/>
      <c r="CP18" s="52" t="s">
        <v>230</v>
      </c>
      <c r="CQ18" s="105"/>
      <c r="CR18" s="52"/>
      <c r="CS18" s="52"/>
      <c r="CT18" s="52"/>
      <c r="CU18" s="52"/>
      <c r="CV18" s="52" t="s">
        <v>25</v>
      </c>
      <c r="CW18" s="52"/>
      <c r="CX18" s="52"/>
      <c r="CY18" s="52"/>
      <c r="CZ18" s="105"/>
      <c r="DA18" s="194" t="s">
        <v>233</v>
      </c>
    </row>
    <row r="19" spans="1:105" ht="13.5" thickTop="1">
      <c r="A19" s="59" t="s">
        <v>99</v>
      </c>
      <c r="B19" s="59" t="s">
        <v>100</v>
      </c>
      <c r="C19" s="59" t="s">
        <v>17</v>
      </c>
      <c r="D19" s="59" t="s">
        <v>61</v>
      </c>
      <c r="E19" s="59" t="s">
        <v>197</v>
      </c>
      <c r="F19" s="59" t="s">
        <v>18</v>
      </c>
      <c r="G19" s="59" t="s">
        <v>178</v>
      </c>
      <c r="H19" s="59" t="s">
        <v>179</v>
      </c>
      <c r="I19" s="59" t="s">
        <v>180</v>
      </c>
      <c r="J19" s="140" t="s">
        <v>174</v>
      </c>
      <c r="K19" s="140" t="s">
        <v>93</v>
      </c>
      <c r="L19" s="140" t="s">
        <v>200</v>
      </c>
      <c r="M19" s="140" t="s">
        <v>175</v>
      </c>
      <c r="N19" s="140" t="s">
        <v>177</v>
      </c>
      <c r="O19" s="140" t="s">
        <v>9</v>
      </c>
      <c r="P19" s="140" t="s">
        <v>75</v>
      </c>
      <c r="Q19" s="140" t="s">
        <v>195</v>
      </c>
      <c r="R19" s="140" t="s">
        <v>196</v>
      </c>
      <c r="S19" s="140" t="s">
        <v>11</v>
      </c>
      <c r="T19" s="140" t="s">
        <v>162</v>
      </c>
      <c r="U19" s="186" t="s">
        <v>202</v>
      </c>
      <c r="V19" s="186" t="s">
        <v>203</v>
      </c>
      <c r="W19" s="186" t="s">
        <v>199</v>
      </c>
      <c r="X19" s="187" t="s">
        <v>101</v>
      </c>
      <c r="Y19" s="187" t="s">
        <v>102</v>
      </c>
      <c r="Z19" s="187" t="s">
        <v>103</v>
      </c>
      <c r="AA19" s="187" t="s">
        <v>104</v>
      </c>
      <c r="AB19" s="187" t="s">
        <v>105</v>
      </c>
      <c r="AC19" s="187" t="s">
        <v>106</v>
      </c>
      <c r="AD19" s="24" t="s">
        <v>12</v>
      </c>
      <c r="AE19" s="24" t="s">
        <v>170</v>
      </c>
      <c r="AF19" s="59" t="s">
        <v>227</v>
      </c>
      <c r="AG19" s="126" t="s">
        <v>225</v>
      </c>
      <c r="AH19" s="59" t="s">
        <v>224</v>
      </c>
      <c r="AI19" s="59" t="s">
        <v>226</v>
      </c>
      <c r="AJ19" s="18" t="s">
        <v>141</v>
      </c>
      <c r="AK19" s="18" t="s">
        <v>142</v>
      </c>
      <c r="AL19" s="24" t="s">
        <v>143</v>
      </c>
      <c r="AM19" s="18" t="s">
        <v>144</v>
      </c>
      <c r="AN19" s="18" t="s">
        <v>145</v>
      </c>
      <c r="AO19" s="24" t="s">
        <v>146</v>
      </c>
      <c r="AP19" s="18" t="s">
        <v>147</v>
      </c>
      <c r="AQ19" s="24" t="s">
        <v>148</v>
      </c>
      <c r="AR19" s="24" t="s">
        <v>149</v>
      </c>
      <c r="AS19" s="24" t="s">
        <v>150</v>
      </c>
      <c r="AT19" s="24" t="s">
        <v>151</v>
      </c>
      <c r="AU19" s="24" t="s">
        <v>152</v>
      </c>
      <c r="AV19" s="24" t="s">
        <v>35</v>
      </c>
      <c r="AW19" s="24" t="s">
        <v>71</v>
      </c>
      <c r="AX19" s="24" t="s">
        <v>72</v>
      </c>
      <c r="AY19" s="24" t="s">
        <v>73</v>
      </c>
      <c r="AZ19" s="24" t="s">
        <v>74</v>
      </c>
      <c r="BA19" s="24" t="s">
        <v>163</v>
      </c>
      <c r="BB19" s="24" t="s">
        <v>52</v>
      </c>
      <c r="BC19" s="24" t="s">
        <v>53</v>
      </c>
      <c r="BD19" s="24" t="s">
        <v>54</v>
      </c>
      <c r="BE19" s="24" t="s">
        <v>82</v>
      </c>
      <c r="BF19" s="24" t="s">
        <v>83</v>
      </c>
      <c r="BG19" s="24" t="s">
        <v>84</v>
      </c>
      <c r="BH19" s="18" t="s">
        <v>133</v>
      </c>
      <c r="BI19" s="18" t="s">
        <v>134</v>
      </c>
      <c r="BJ19" s="18" t="s">
        <v>135</v>
      </c>
      <c r="BK19" s="18" t="s">
        <v>40</v>
      </c>
      <c r="BL19" s="24" t="s">
        <v>204</v>
      </c>
      <c r="BM19" s="59" t="s">
        <v>42</v>
      </c>
      <c r="BN19" s="59" t="s">
        <v>226</v>
      </c>
      <c r="BO19" s="59" t="s">
        <v>205</v>
      </c>
      <c r="BP19" s="59" t="s">
        <v>209</v>
      </c>
      <c r="BQ19" s="59" t="s">
        <v>210</v>
      </c>
      <c r="BR19" s="59" t="s">
        <v>211</v>
      </c>
      <c r="BS19" s="59" t="s">
        <v>212</v>
      </c>
      <c r="BT19" s="59" t="s">
        <v>213</v>
      </c>
      <c r="BU19" s="59" t="s">
        <v>214</v>
      </c>
      <c r="BV19" s="59" t="s">
        <v>183</v>
      </c>
      <c r="BW19" s="26" t="s">
        <v>184</v>
      </c>
      <c r="BX19" s="59" t="s">
        <v>182</v>
      </c>
      <c r="BY19" s="59" t="s">
        <v>43</v>
      </c>
      <c r="BZ19" s="19" t="s">
        <v>127</v>
      </c>
      <c r="CA19" s="166" t="s">
        <v>8</v>
      </c>
      <c r="CB19" s="85"/>
      <c r="CC19" s="59" t="s">
        <v>198</v>
      </c>
      <c r="CD19" s="59" t="s">
        <v>159</v>
      </c>
      <c r="CE19" s="59" t="s">
        <v>160</v>
      </c>
      <c r="CF19" s="59" t="s">
        <v>161</v>
      </c>
      <c r="CG19" s="59" t="s">
        <v>156</v>
      </c>
      <c r="CH19" s="59" t="s">
        <v>157</v>
      </c>
      <c r="CI19" s="59" t="s">
        <v>158</v>
      </c>
      <c r="CJ19" s="59" t="s">
        <v>1</v>
      </c>
      <c r="CK19" s="59" t="s">
        <v>2</v>
      </c>
      <c r="CL19" s="59" t="s">
        <v>115</v>
      </c>
      <c r="CM19" s="59" t="s">
        <v>116</v>
      </c>
      <c r="CN19" s="59" t="s">
        <v>41</v>
      </c>
      <c r="CO19" s="59" t="s">
        <v>186</v>
      </c>
      <c r="CP19" s="59" t="s">
        <v>187</v>
      </c>
      <c r="CQ19" s="59" t="s">
        <v>188</v>
      </c>
      <c r="CR19" s="59" t="s">
        <v>37</v>
      </c>
      <c r="CS19" s="59" t="s">
        <v>38</v>
      </c>
      <c r="CT19" s="59" t="s">
        <v>39</v>
      </c>
      <c r="CU19" s="59" t="s">
        <v>215</v>
      </c>
      <c r="CV19" s="59" t="s">
        <v>29</v>
      </c>
      <c r="CW19" s="59" t="s">
        <v>20</v>
      </c>
      <c r="CX19" s="59" t="s">
        <v>206</v>
      </c>
      <c r="CY19" s="59" t="s">
        <v>207</v>
      </c>
      <c r="CZ19" s="59" t="s">
        <v>208</v>
      </c>
      <c r="DA19" s="59" t="s">
        <v>56</v>
      </c>
    </row>
    <row r="20" spans="1:105" ht="12.75">
      <c r="A20" s="60"/>
      <c r="B20" s="60"/>
      <c r="C20" s="60"/>
      <c r="D20" s="60"/>
      <c r="E20" s="60"/>
      <c r="F20" s="60"/>
      <c r="G20" s="60"/>
      <c r="H20" s="119"/>
      <c r="I20" s="60"/>
      <c r="J20" s="60"/>
      <c r="K20" s="60"/>
      <c r="L20" s="60"/>
      <c r="M20" s="60"/>
      <c r="N20" s="61"/>
      <c r="O20" s="60"/>
      <c r="P20" s="60"/>
      <c r="Q20" s="119"/>
      <c r="R20" s="119"/>
      <c r="S20" s="119"/>
      <c r="T20" s="119"/>
      <c r="U20" s="66">
        <f aca="true" t="shared" si="4" ref="U20:U27">IF(A20="","",1.02*C20/K20*SUMIF(Tipo_cable,J20,Resis_20_C))</f>
      </c>
      <c r="V20" s="66">
        <f>IF(A20="","",IF($D$9="Sí",0,IF(N20="","",1.02*C20/N20*SUMIF(Tipo_cable,M20,Resis_20_C))))</f>
      </c>
      <c r="W20" s="67">
        <f>IF(A20="","",IF(D20="",0,IF(D20="RST",IF(G20="Alum. des.",1.8*E20/SQRT(3)/$D$5,E20/SQRT(3)/$D$5/F20),IF(G20="Alum. des.",1.8*E20/$D$6,E20/$D$6/F20))))</f>
      </c>
      <c r="X20" s="66">
        <f>IF(A20="","",IF($D$3="Sí",U20*(1+SUMIF(Tipo_cable,J20,alfa)*(IF(S20="",SUMIF(Tipo_cable,J20,Tem_amb),S20)*(1-(AL20/AD20)^2)+(AL20/AD20)^2*SUMIF(Tipo_cable,J20,Tem_máx)-20)),U20))</f>
      </c>
      <c r="Y20" s="66">
        <f>IF(A20="","",IF($D$3="Sí",U20*(1+SUMIF(Tipo_cable,J20,alfa)*(IF(S20="",SUMIF(Tipo_cable,J20,Tem_amb),S20)*(1-(AO20/AD20)^2)+(AO20/AD20)^2*SUMIF(Tipo_cable,J20,Tem_máx)-20)),U20))</f>
      </c>
      <c r="Z20" s="66">
        <f>IF(A20="","",IF($D$3="Sí",U20*(1+SUMIF(Tipo_cable,J20,alfa)*(IF(S20="",SUMIF(Tipo_cable,J20,Tem_amb),S20)*(1-(AR20/AD20)^2)+(AR20/AD20)^2*SUMIF(Tipo_cable,J20,Tem_máx)-20)),U20))</f>
      </c>
      <c r="AA20" s="66">
        <f>IF(A20="","",IF($D$3="Sí",V20*(1+SUMIF(Tipo_cable,M20,alfa)*(IF(S20="",SUMIF(Tipo_cable,M20,Tem_amb),S20)*(1-(AU20/AD20)^2)+(AU20/AD20)^2*SUMIF(Tipo_cable,M20,Tem_máx)-20)),V20))</f>
      </c>
      <c r="AB20" s="66">
        <f>IF(A20="","",IF($D$4="Sí",0,IF(Q20="",IF(P20="","",IF(OR(P20="Unipolar/Cu",P20="Unipolar/Al"),U20*SUMIF(Sección,K20,React_unipo),U20*SUMIF(Sección,K20,React_tripo))),Q20*C20)))</f>
      </c>
      <c r="AC20" s="66">
        <f>IF(A20="","",IF($D$4="Sí",0,IF(R20="",IF(P20="","",$D$8/100*IF(OR(P20="Unipolar/Al",P20="Unipolar/Cu"),V20*SUMIF(Sección,N20,React_unipo),V20*SUMIF(Sección,N20,React_tripo))),R20*C20)))</f>
      </c>
      <c r="AD20" s="55">
        <f>IF(B20="","",L20*IF(S20="",1,SQRT((SUMIF(Tipo_cable,J20,Tem_máx)-S20)/((SUMIF(Tipo_cable,J20,Tem_máx)-(SUMIF(Tipo_cable,J20,Tem_amb))))))*IF(T20="",1,T20))</f>
      </c>
      <c r="AE20" s="67">
        <f>IF(B20="","",MAX(AL20,MAX(AO20,AR20))-CC20+1.25*CC20)</f>
      </c>
      <c r="AF20" s="68">
        <f>IF(B20="","",$D$6-MIN(BB20:BD20))</f>
      </c>
      <c r="AG20" s="68">
        <f>IF(B20="","",100*AF20/$D$6)</f>
      </c>
      <c r="AH20" s="68">
        <f>IF(B20="","",$D$5-MIN(BE20:BG20))</f>
      </c>
      <c r="AI20" s="269">
        <f>IF(B20="","",100*AH20/$D$5)</f>
      </c>
      <c r="AJ20" s="68">
        <f>IF($B20="","",I20*IF($G$14="Sí",IF(OR($D20="R",$D20="RST"),IF($D$2="Sí",IF($G20="Motor",$D$6*$W20/(BB20^2),$W20/$D$6)*($AV20*$F20+$AW20*SIN(ACOS($F20))),$W20*$F20))+SUMIF(INICIO,$B20,R_RE),0))</f>
      </c>
      <c r="AK20" s="68">
        <f>IF(B20="","",I20*IF($G$14="Sí",IF(OR($D20="R",$D20="RST"),IF($D$2="Sí",IF($G20="Motor",$D$6*$W20/(BB20^2),$W20/$D$6)*($AW20*$F20-$AV20*SIN(ACOS($F20))),-$W20*SIN(ACOS($F20))))+SUMIF(INICIO,$B20,R_IM),0))</f>
      </c>
      <c r="AL20" s="274">
        <f>IF(B20="","",SQRT(AJ20^2+AK20^2))</f>
      </c>
      <c r="AM20" s="68">
        <f>IF(B20="","",I20*IF($H$14="Sí",IF(OR($D20="S",$D20="RST"),IF($D$2="Sí",IF($G20="Motor",$D$6*$W20/(BC20^2),$W20/$D$6)*($AX20*$F20+$AY20*SIN(ACOS($F20))),-$W20*$F20/2-SQRT(3)/2*$W20*SIN(ACOS($F20))))+SUMIF(INICIO,$B20,S_RE),0))</f>
      </c>
      <c r="AN20" s="68">
        <f>IF(B20="","",I20*IF($H$14="Sí",IF(OR($D20="S",$D20="RST"),IF($D$2="Sí",IF($G20="Motor",$D$6*$W20/(BC20^2),$W20/$D$6)*($AY20*$F20-$AX20*SIN(ACOS($F20))),-SQRT(3)/2*$W20*$F20+0.5*$W20*SIN(ACOS($F20))))+SUMIF(INICIO,$B20,S_IM),0))</f>
      </c>
      <c r="AO20" s="274">
        <f>IF(B20="","",SQRT(AM20^2+AN20^2))</f>
      </c>
      <c r="AP20" s="68">
        <f>IF(B20="","",I20*IF($I$14="Sí",IF(OR($D20="T",$D20="RST"),IF($D$2="Sí",IF($G20="Motor",$D$6*$W20/(BD20^2),$W20/$D$6)*($AZ20*$F20+$BA20*SIN(ACOS($F20))),-$W20*$F20/2+SQRT(3)/2*$W20*SIN(ACOS($F20))))+SUMIF(INICIO,$B20,T_RE),0))</f>
      </c>
      <c r="AQ20" s="272">
        <f>IF(B20="","",I20*IF($I$14="Sí",IF(OR($D20="T",$D20="RST"),IF($D$2="Sí",IF($G20="Motor",$D$6*$W20/(BD20^2),$W20/$D$6)*($BA20*$F20-$AZ20*SIN(ACOS($F20))),SQRT(3)/2*$W20*$F20+0.5*$W20*SIN(ACOS($F20))))+SUMIF(INICIO,$B20,T_IM),0))</f>
      </c>
      <c r="AR20" s="68">
        <f>IF(B20="","",SQRT(AP20^2+AQ20^2))</f>
      </c>
      <c r="AS20" s="68">
        <f>IF(B20="","",AJ20+AM20+AP20)</f>
      </c>
      <c r="AT20" s="68">
        <f>IF(B20="","",AK20+AN20+AQ20)</f>
      </c>
      <c r="AU20" s="68">
        <f>IF(B20="","",SQRT(AS20^2+AT20^2))</f>
      </c>
      <c r="AV20" s="67">
        <f>IF(A20="","",D6-($X20*$AJ20-$AB20*$AK20)-($AA20*$AS20-$AC20*$AT20))</f>
      </c>
      <c r="AW20" s="67">
        <f>IF(A20="","",0-($X20*$AK20+$AB20*$AJ20)-($AA20*$AT20+$AC20*$AS20))</f>
      </c>
      <c r="AX20" s="67">
        <f>IF(A20="","",-$D$6/2-($Y20*$AM20-$AB20*$AN20)-($AA20*$AS20-$AC20*$AT20))</f>
      </c>
      <c r="AY20" s="67">
        <f>IF(A20="","",-SQRT(3)*$D$6/2-($Y20*$AN20+$AB20*$AM20)-($AA20*$AT20+$AC20*$AS20))</f>
      </c>
      <c r="AZ20" s="67">
        <f>IF(A20="","",-$D$6/2-($Z20*$AP20-$AB20*$AQ20)-($AA20*$AS20-$AC20*$AT20))</f>
      </c>
      <c r="BA20" s="67">
        <f>IF(A20="","",SQRT(3)*$D$6/2-($Z20*$AQ20+$AB20*$AP20)-($AA20*$AT20+$AC20*$AS20))</f>
      </c>
      <c r="BB20" s="67">
        <f>IF(B20="","",SQRT(AV20^2+AW20^2))</f>
      </c>
      <c r="BC20" s="67">
        <f>IF(B20="","",SQRT(AX20^2+AY20^2))</f>
      </c>
      <c r="BD20" s="67">
        <f>IF(B20="","",SQRT(AZ20^2+BA20^2))</f>
      </c>
      <c r="BE20" s="67">
        <f>IF(B20="","",SQRT((AV20-AX20)^2+(AW20-AY20)^2))</f>
      </c>
      <c r="BF20" s="67">
        <f>IF(B20="","",SQRT((AX20-AZ20)^2+(AY20-BA20)^2))</f>
      </c>
      <c r="BG20" s="67">
        <f>IF(B20="","",SQRT((AZ20-AV20)^2+(BA20-AW20)^2))</f>
      </c>
      <c r="BH20" s="67">
        <f>IF(B20="","",100*($D$6-BB20)/$D$6)</f>
      </c>
      <c r="BI20" s="67">
        <f>IF(B20="","",100*($D$6-BC20)/$D$6)</f>
      </c>
      <c r="BJ20" s="67">
        <f>IF(B20="","",100*($D$6-BD20)/$D$6)</f>
      </c>
      <c r="BK20" s="68">
        <f>IF(B20="","",I20*(W20+SUMIF(INICIO,$B20,I_tramo)))</f>
      </c>
      <c r="BL20" s="40">
        <f>IF(B20="","",BK20-CC20+1.25*CC20)</f>
      </c>
      <c r="BM20" s="69">
        <f>IF(A20="","",$D$5-SQRT(3)*U20*CN20)</f>
      </c>
      <c r="BN20" s="68">
        <f>IF(B20="","",100*($D$5-BM20)/$D$5)</f>
      </c>
      <c r="BO20" s="68">
        <f aca="true" t="shared" si="5" ref="BO20:BO52">IF(B20="","",MAX(CR20:CT20)-CC20+1.25*CC20)</f>
      </c>
      <c r="BP20" s="68">
        <f>IF(A20="","",$D$5-SQRT(3)*U20*CX20)</f>
      </c>
      <c r="BQ20" s="68">
        <f>IF(B20="","",100*($D$5-BP20)/$D$5)</f>
      </c>
      <c r="BR20" s="68">
        <f>IF(A20="","",$D$5-SQRT(3)*U20*CY20)</f>
      </c>
      <c r="BS20" s="68">
        <f>IF(B20="","",100*($D$5-BR20)/$D$5)</f>
      </c>
      <c r="BT20" s="68">
        <f>IF(A20="","",$D$5-SQRT(3)*U20*CZ20)</f>
      </c>
      <c r="BU20" s="68">
        <f>IF(B20="","",100*($D$5-BT20)/$D$5)</f>
      </c>
      <c r="BV20" s="70">
        <f>IF(B20="","",U20+SUMIF(FINAL,$A20,R_FINAL))</f>
      </c>
      <c r="BW20" s="70">
        <f>IF(B20="","",AB20+SUMIF(FINAL,$A20,X_FINAL))</f>
      </c>
      <c r="BX20" s="68">
        <f aca="true" t="shared" si="6" ref="BX20:BX52">IF(B20="","",$D$6/SQRT((BV20-U20)^2+(BW20-AB20+$S$12)^2)/1000)</f>
      </c>
      <c r="BY20" s="68">
        <f>IF(B20="","",SUMIF(Tipo_cable,J20,Constante_k)*K20/SQRT(IF(BZ20="",0.7,BZ20))/1000)</f>
      </c>
      <c r="BZ20" s="60"/>
      <c r="CA20" s="67">
        <f>IF(B20="","",(SUMIF(Tipo_cable,J20,Constante_k)*K20/(BX20*1000))^2)</f>
      </c>
      <c r="CB20"/>
      <c r="CC20" s="67">
        <f>IF(FINAL="","",SUMIF(FINAL,$H20,I_nom_A))</f>
      </c>
      <c r="CD20" s="67">
        <f>IF(A20="","",IF(OR($D20="R",$D20="RST"),1,0))</f>
      </c>
      <c r="CE20" s="67">
        <f>IF(A20="","",IF(OR($D20="S",$D20="RST"),1,0))</f>
      </c>
      <c r="CF20" s="67">
        <f>IF(A20="","",IF(OR($D20="T",$D20="RST"),1,0))</f>
      </c>
      <c r="CG20" s="67">
        <f>IF(FINAL="","",SUMIF(FINAL,$H20,I_nom_A)*SUMIF(FINAL,$H20,FASE_R))</f>
      </c>
      <c r="CH20" s="67">
        <f>IF(FINAL="","",SUMIF(FINAL,$H20,I_nom_A)*SUMIF(FINAL,$H20,FASE_S))</f>
      </c>
      <c r="CI20" s="67">
        <f>IF(FINAL="","",SUMIF(FINAL,$H20,I_nom_A)*SUMIF(FINAL,$H20,FASE_T))</f>
      </c>
      <c r="CJ20" s="71">
        <f>IF(B20="","",C20*IF(P20="Unipolar/Cu",3,0))</f>
      </c>
      <c r="CK20" s="71">
        <f>IF(B20="","",C20*IF(P20="Unipolar/Al",3,0))</f>
      </c>
      <c r="CL20" s="71">
        <f>IF(B20="","",C20*IF(P20="Tripolar/Cu",1,0))</f>
      </c>
      <c r="CM20" s="71">
        <f>IF(B20="","",C20*IF(P20="Tripolar/Al",1,0))</f>
      </c>
      <c r="CN20" s="68">
        <f aca="true" t="shared" si="7" ref="CN20:CN52">IF(B20="","",I20*(W20*F20+SUMIF(INICIO,$B20,I_cosfi)))</f>
      </c>
      <c r="CO20" s="40">
        <f>IF(B20="","",AL20-CG20+1.25*CG20)</f>
      </c>
      <c r="CP20" s="40">
        <f>IF(B20="","",AO20-CH20+1.25*CH20)</f>
      </c>
      <c r="CQ20" s="40">
        <f>IF(B20="","",AR20-CI20+1.25*CI20)</f>
      </c>
      <c r="CR20" s="68">
        <f aca="true" t="shared" si="8" ref="CR20:CR25">IF($B20="","",I20*IF($G$14="Sí",IF(OR($D20="R",$D20="RST"),$W20)+SUMIF(INICIO,$B20,I_tramoR),0))</f>
      </c>
      <c r="CS20" s="68">
        <f aca="true" t="shared" si="9" ref="CS20:CS25">IF($B20="","",I20*IF($H$14="Sí",IF(OR($D20="S",$D20="RST"),$W20)+SUMIF(INICIO,$B20,I_tramoS),0))</f>
      </c>
      <c r="CT20" s="68">
        <f>IF($B20="","",I20*IF($I$14="Sí",IF(OR($D20="T",$D20="RST"),$W20)+SUMIF(INICIO,$B20,I_tramoT),0))</f>
      </c>
      <c r="CU20" s="68">
        <f>IF(B20="","",CR20-CG20+1.25*CG20)</f>
      </c>
      <c r="CV20" s="68">
        <f>IF(B20="","",CS20-CH20+1.25*CH20)</f>
      </c>
      <c r="CW20" s="68">
        <f>IF(B20="","",CT20-CI20+1.25*CI20)</f>
      </c>
      <c r="CX20" s="68">
        <f aca="true" t="shared" si="10" ref="CX20:CX25">IF($B20="","",I20*IF($G$14="Sí",IF(OR($D20="R",$D20="RST"),$W20*F20)+SUMIF(INICIO,$B20,IR_cosfi),0))</f>
      </c>
      <c r="CY20" s="68">
        <f aca="true" t="shared" si="11" ref="CY20:CY25">IF($B20="","",I20*IF($H$14="Sí",IF(OR($D20="S",$D20="RST"),$W20*F20)+SUMIF(INICIO,$B20,IS_cosfi),0))</f>
      </c>
      <c r="CZ20" s="68">
        <f>IF($B20="","",I20*IF($I$14="Sí",IF(OR($D20="T",$D20="RST"),$W20*F20)+SUMIF(INICIO,$B20,IT_cosfi),0))</f>
      </c>
      <c r="DA20" s="40">
        <f>IF($X20="","",X20*AL20^2+Y20*AO20^2+Z20*AR20^2)</f>
      </c>
    </row>
    <row r="21" spans="1:105" ht="12.75">
      <c r="A21" s="61"/>
      <c r="B21" s="61"/>
      <c r="C21" s="61"/>
      <c r="D21" s="61"/>
      <c r="E21" s="61"/>
      <c r="F21" s="61"/>
      <c r="G21" s="61"/>
      <c r="H21" s="120"/>
      <c r="I21" s="61"/>
      <c r="J21" s="61"/>
      <c r="K21" s="61"/>
      <c r="L21" s="61"/>
      <c r="M21" s="61"/>
      <c r="N21" s="61"/>
      <c r="O21" s="61"/>
      <c r="P21" s="61"/>
      <c r="Q21" s="120"/>
      <c r="R21" s="120"/>
      <c r="S21" s="120"/>
      <c r="T21" s="120"/>
      <c r="U21" s="72">
        <f t="shared" si="4"/>
      </c>
      <c r="V21" s="72">
        <f aca="true" t="shared" si="12" ref="V21:V84">IF(A21="","",IF($D$9="Sí",0,IF(N21="","",1.02*C21/N21*SUMIF(Tipo_cable,M21,Resis_20_C))))</f>
      </c>
      <c r="W21" s="73">
        <f aca="true" t="shared" si="13" ref="W21:W84">IF(A21="","",IF(D21="",0,IF(D21="RST",IF(G21="Alum. des.",1.8*E21/SQRT(3)/$D$5,E21/SQRT(3)/$D$5/F21),IF(G21="Alum. des.",1.8*E21/$D$6,E21/$D$6/F21))))</f>
      </c>
      <c r="X21" s="72">
        <f aca="true" t="shared" si="14" ref="X21:X84">IF(A21="","",IF($D$3="Sí",U21*(1+SUMIF(Tipo_cable,J21,alfa)*(IF(S21="",SUMIF(Tipo_cable,J21,Tem_amb),S21)*(1-(AL21/AD21)^2)+(AL21/AD21)^2*SUMIF(Tipo_cable,J21,Tem_máx)-20)),U21))</f>
      </c>
      <c r="Y21" s="72">
        <f aca="true" t="shared" si="15" ref="Y21:Y84">IF(A21="","",IF($D$3="Sí",U21*(1+SUMIF(Tipo_cable,J21,alfa)*(IF(S21="",SUMIF(Tipo_cable,J21,Tem_amb),S21)*(1-(AO21/AD21)^2)+(AO21/AD21)^2*SUMIF(Tipo_cable,J21,Tem_máx)-20)),U21))</f>
      </c>
      <c r="Z21" s="72">
        <f aca="true" t="shared" si="16" ref="Z21:Z84">IF(A21="","",IF($D$3="Sí",U21*(1+SUMIF(Tipo_cable,J21,alfa)*(IF(S21="",SUMIF(Tipo_cable,J21,Tem_amb),S21)*(1-(AR21/AD21)^2)+(AR21/AD21)^2*SUMIF(Tipo_cable,J21,Tem_máx)-20)),U21))</f>
      </c>
      <c r="AA21" s="72">
        <f aca="true" t="shared" si="17" ref="AA21:AA84">IF(A21="","",IF($D$3="Sí",V21*(1+SUMIF(Tipo_cable,M21,alfa)*(IF(S21="",SUMIF(Tipo_cable,M21,Tem_amb),S21)*(1-(AU21/AD21)^2)+(AU21/AD21)^2*SUMIF(Tipo_cable,M21,Tem_máx)-20)),V21))</f>
      </c>
      <c r="AB21" s="72">
        <f aca="true" t="shared" si="18" ref="AB21:AB84">IF(A21="","",IF($D$4="Sí",0,IF(Q21="",IF(P21="","",IF(OR(P21="Unipolar/Cu",P21="Unipolar/Al"),U21*SUMIF(Sección,K21,React_unipo),U21*SUMIF(Sección,K21,React_tripo))),Q21*C21)))</f>
      </c>
      <c r="AC21" s="72">
        <f aca="true" t="shared" si="19" ref="AC21:AC84">IF(A21="","",IF($D$4="Sí",0,IF(R21="",IF(P21="","",$D$8/100*IF(OR(P21="Unipolar/Al",P21="Unipolar/Cu"),V21*SUMIF(Sección,N21,React_unipo),V21*SUMIF(Sección,N21,React_tripo))),R21*C21)))</f>
      </c>
      <c r="AD21" s="74">
        <f aca="true" t="shared" si="20" ref="AD21:AD52">IF(L21="","",L21*IF(S21="",1,SQRT((SUMIF(Tipo_cable,J21,Tem_máx)-S21)/((SUMIF(Tipo_cable,J21,Tem_máx)-(SUMIF(Tipo_cable,J21,Tem_amb))))))*IF(T21="",1,T21))</f>
      </c>
      <c r="AE21" s="73">
        <f>IF(B21="","",MAX(AL21,MAX(AO21,AR21))-CC21+1.25*CC21)</f>
      </c>
      <c r="AF21" s="40">
        <f>IF(B21="","",$D$6-MIN(BB21:BD21))</f>
      </c>
      <c r="AG21" s="40">
        <f aca="true" t="shared" si="21" ref="AG21:AG36">IF(B21="","",100*AF21/$D$6)</f>
      </c>
      <c r="AH21" s="40">
        <f aca="true" t="shared" si="22" ref="AH21:AH87">IF(B21="","",$D$5-MIN(BE21:BG21))</f>
      </c>
      <c r="AI21" s="270">
        <f aca="true" t="shared" si="23" ref="AI21:AI87">IF(B21="","",100*AH21/$D$5)</f>
      </c>
      <c r="AJ21" s="40">
        <f>IF($B21="","",I21*IF($G$14="Sí",IF(OR($D21="R",$D21="RST"),IF($D$2="Sí",IF($G21="Motor",$D$6*$W21/(BB21^2),$W21/$D$6)*($AV21*$F21+$AW21*SIN(ACOS($F21))),$W21*$F21))+SUMIF(INICIO,$B21,R_RE),0))</f>
      </c>
      <c r="AK21" s="40">
        <f>IF(B21="","",I21*IF($G$14="Sí",IF(OR($D21="R",$D21="RST"),IF($D$2="Sí",IF($G21="Motor",$D$6*$W21/(BB21^2),$W21/$D$6)*($AW21*$F21-$AV21*SIN(ACOS($F21))),-$W21*SIN(ACOS($F21))))+SUMIF(INICIO,$B21,R_IM),0))</f>
      </c>
      <c r="AL21" s="273">
        <f aca="true" t="shared" si="24" ref="AL21:AL87">IF(B21="","",SQRT(AJ21^2+AK21^2))</f>
      </c>
      <c r="AM21" s="40">
        <f>IF(B21="","",I21*IF($H$14="Sí",IF(OR($D21="S",$D21="RST"),IF($D$2="Sí",IF($G21="Motor",$D$6*$W21/(BC21^2),$W21/$D$6)*($AX21*$F21+$AY21*SIN(ACOS($F21))),-$W21*$F21/2-SQRT(3)/2*$W21*SIN(ACOS($F21))))+SUMIF(INICIO,$B21,S_RE),0))</f>
      </c>
      <c r="AN21" s="40">
        <f>IF(B21="","",I21*IF($H$14="Sí",IF(OR($D21="S",$D21="RST"),IF($D$2="Sí",IF($G21="Motor",$D$6*$W21/(BC21^2),$W21/$D$6)*($AY21*$F21-$AX21*SIN(ACOS($F21))),-SQRT(3)/2*$W21*$F21+0.5*$W21*SIN(ACOS($F21))))+SUMIF(INICIO,$B21,S_IM),0))</f>
      </c>
      <c r="AO21" s="273">
        <f aca="true" t="shared" si="25" ref="AO21:AO87">IF(B21="","",SQRT(AM21^2+AN21^2))</f>
      </c>
      <c r="AP21" s="40">
        <f>IF(B21="","",I21*IF($I$14="Sí",IF(OR($D21="T",$D21="RST"),IF($D$2="Sí",IF($G21="Motor",$D$6*$W21/(BD21^2),$W21/$D$6)*($AZ21*$F21+$BA21*SIN(ACOS($F21))),-$W21*$F21/2+SQRT(3)/2*$W21*SIN(ACOS($F21))))+SUMIF(INICIO,$B21,T_RE),0))</f>
      </c>
      <c r="AQ21" s="272">
        <f>IF(B21="","",I21*IF($I$14="Sí",IF(OR($D21="T",$D21="RST"),IF($D$2="Sí",IF($G21="Motor",$D$6*$W21/(BD21^2),$W21/$D$6)*($BA21*$F21-$AZ21*SIN(ACOS($F21))),SQRT(3)/2*$W21*$F21+0.5*$W21*SIN(ACOS($F21))))+SUMIF(INICIO,$B21,T_IM),0))</f>
      </c>
      <c r="AR21" s="40">
        <f aca="true" t="shared" si="26" ref="AR21:AR87">IF(B21="","",SQRT(AP21^2+AQ21^2))</f>
      </c>
      <c r="AS21" s="40">
        <f aca="true" t="shared" si="27" ref="AS21:AS87">IF(B21="","",AJ21+AM21+AP21)</f>
      </c>
      <c r="AT21" s="40">
        <f aca="true" t="shared" si="28" ref="AT21:AT87">IF(B21="","",AK21+AN21+AQ21)</f>
      </c>
      <c r="AU21" s="40">
        <f aca="true" t="shared" si="29" ref="AU21:AU87">IF(B21="","",SQRT(AS21^2+AT21^2))</f>
      </c>
      <c r="AV21" s="73">
        <f>IF(B21="","",SUMIF(FINAL,$A21,ac_R_Re)-($X21*$AJ21-$AB21*$AK21)-($AA21*$AS21-$AC21*$AT21))</f>
      </c>
      <c r="AW21" s="73">
        <f>IF(B21="","",SUMIF(FINAL,$A21,ac_R_Im)-($X21*$AK21+$AB21*$AJ21)-($AA21*$AT21+$AC21*$AS21))</f>
      </c>
      <c r="AX21" s="73">
        <f>IF(B21="","",SUMIF(FINAL,$A21,ac_S_Re)-($Y21*$AM21-$AB21*$AN21)-($AA21*$AS21-$AC21*$AT21))</f>
      </c>
      <c r="AY21" s="73">
        <f>IF(B21="","",SUMIF(FINAL,$A21,ac_S_Im)-($Y21*$AN21+$AB21*$AM21)-($AA21*$AT21+$AC21*$AS21))</f>
      </c>
      <c r="AZ21" s="73">
        <f>IF(B21="","",SUMIF(FINAL,$A21,ac_T_Re)-($Z21*$AP21-$AB21*$AQ21)-($AA21*$AS21-$AC21*$AT21))</f>
      </c>
      <c r="BA21" s="73">
        <f>IF(B21="","",SUMIF(FINAL,$A21,ac_T_Im)-($Z21*$AQ21+$AB21*$AP21)-($AA21*$AT21+$AC21*$AS21))</f>
      </c>
      <c r="BB21" s="73">
        <f>IF(B21="","",SQRT(AV21^2+AW21^2))</f>
      </c>
      <c r="BC21" s="73">
        <f>IF(B21="","",SQRT(AX21^2+AY21^2))</f>
      </c>
      <c r="BD21" s="73">
        <f>IF(B21="","",SQRT(AZ21^2+BA21^2))</f>
      </c>
      <c r="BE21" s="73">
        <f aca="true" t="shared" si="30" ref="BE21:BE87">IF(B21="","",SQRT((AV21-AX21)^2+(AW21-AY21)^2))</f>
      </c>
      <c r="BF21" s="73">
        <f aca="true" t="shared" si="31" ref="BF21:BF87">IF(B21="","",SQRT((AX21-AZ21)^2+(AY21-BA21)^2))</f>
      </c>
      <c r="BG21" s="73">
        <f aca="true" t="shared" si="32" ref="BG21:BG87">IF(B21="","",SQRT((AZ21-AV21)^2+(BA21-AW21)^2))</f>
      </c>
      <c r="BH21" s="73">
        <f aca="true" t="shared" si="33" ref="BH21:BH84">IF(B21="","",100*($D$6-BB21)/$D$6)</f>
      </c>
      <c r="BI21" s="73">
        <f>IF(B21="","",100*($D$6-BC21)/$D$6)</f>
      </c>
      <c r="BJ21" s="73">
        <f>IF(B21="","",100*($D$6-BD21)/$D$6)</f>
      </c>
      <c r="BK21" s="40">
        <f>IF(B21="","",I21*(W21+SUMIF(INICIO,$B21,I_tramo)))</f>
      </c>
      <c r="BL21" s="40">
        <f>IF(B21="","",BK21-CC21+1.25*CC21)</f>
      </c>
      <c r="BM21" s="40">
        <f>IF(B21="","",SUMIF(FINAL,$A21,U_FINAL)-SQRT(3)*U21*CN21)</f>
      </c>
      <c r="BN21" s="40">
        <f aca="true" t="shared" si="34" ref="BN21:BN87">IF(B21="","",100*($D$5-BM21)/$D$5)</f>
      </c>
      <c r="BO21" s="40">
        <f t="shared" si="5"/>
      </c>
      <c r="BP21" s="40">
        <f aca="true" t="shared" si="35" ref="BP21:BP53">IF(B21="","",SUMIF(FINAL,$A21,U_FINAL_R)-SQRT(3)*U21*CX21)</f>
      </c>
      <c r="BQ21" s="40">
        <f aca="true" t="shared" si="36" ref="BQ21:BQ87">IF(B21="","",100*($D$5-BP21)/$D$5)</f>
      </c>
      <c r="BR21" s="40">
        <f aca="true" t="shared" si="37" ref="BR21:BR53">IF(B21="","",SUMIF(FINAL,$A21,U_FINAL_S)-SQRT(3)*U21*CY21)</f>
      </c>
      <c r="BS21" s="40">
        <f>IF(B21="","",100*($D$5-BR21)/$D$5)</f>
      </c>
      <c r="BT21" s="40">
        <f aca="true" t="shared" si="38" ref="BT21:BT44">IF(B21="","",SUMIF(FINAL,$A21,U_FINAL_T)-SQRT(3)*U21*CZ21)</f>
      </c>
      <c r="BU21" s="40">
        <f aca="true" t="shared" si="39" ref="BU21:BU87">IF(B21="","",100*($D$5-BT21)/$D$5)</f>
      </c>
      <c r="BV21" s="75">
        <f aca="true" t="shared" si="40" ref="BV21:BV87">IF(B21="","",U21+SUMIF(FINAL,$A21,R_FINAL))</f>
      </c>
      <c r="BW21" s="75">
        <f aca="true" t="shared" si="41" ref="BW21:BW87">IF(B21="","",AB21+SUMIF(FINAL,$A21,X_FINAL))</f>
      </c>
      <c r="BX21" s="40">
        <f t="shared" si="6"/>
      </c>
      <c r="BY21" s="40">
        <f aca="true" t="shared" si="42" ref="BY21:BY52">IF(B21="","",SUMIF(Tipo_cable,J21,Constante_k)*K21/SQRT(IF(BZ21="",0.7,BZ21))/1000)</f>
      </c>
      <c r="BZ21" s="61"/>
      <c r="CA21" s="73">
        <f aca="true" t="shared" si="43" ref="CA21:CA84">IF(B21="","",(SUMIF(Tipo_cable,J21,Constante_k)*K21/(BX21*1000))^2)</f>
      </c>
      <c r="CB21"/>
      <c r="CC21" s="73">
        <f aca="true" t="shared" si="44" ref="CC21:CC79">IF(FINAL="","",SUMIF(FINAL,$H21,I_nom_A))</f>
      </c>
      <c r="CD21" s="73">
        <f aca="true" t="shared" si="45" ref="CD21:CD27">IF(A21="","",IF(OR($D21="R",$D21="RST"),1,0))</f>
      </c>
      <c r="CE21" s="73">
        <f aca="true" t="shared" si="46" ref="CE21:CE27">IF(A21="","",IF(OR($D21="S",$D21="RST"),1,0))</f>
      </c>
      <c r="CF21" s="73">
        <f aca="true" t="shared" si="47" ref="CF21:CF27">IF(A21="","",IF(OR($D21="T",$D21="RST"),1,0))</f>
      </c>
      <c r="CG21" s="73">
        <f aca="true" t="shared" si="48" ref="CG21:CG84">IF(FINAL="","",SUMIF(FINAL,$H21,I_nom_A)*SUMIF(FINAL,$H21,FASE_R))</f>
      </c>
      <c r="CH21" s="73">
        <f aca="true" t="shared" si="49" ref="CH21:CH84">IF(FINAL="","",SUMIF(FINAL,$H21,I_nom_A)*SUMIF(FINAL,$H21,FASE_S))</f>
      </c>
      <c r="CI21" s="73">
        <f aca="true" t="shared" si="50" ref="CI21:CI84">IF(FINAL="","",SUMIF(FINAL,$H21,I_nom_A)*SUMIF(FINAL,$H21,FASE_T))</f>
      </c>
      <c r="CJ21" s="76">
        <f aca="true" t="shared" si="51" ref="CJ21:CJ87">IF(B21="","",C21*IF(P21="Unipolar/Cu",3,0))</f>
      </c>
      <c r="CK21" s="76">
        <f>IF(B21="","",C21*IF(P21="Unipolar/Al",3,0))</f>
      </c>
      <c r="CL21" s="76">
        <f>IF(B21="","",C21*IF(P21="Tripolar/Cu",1,0))</f>
      </c>
      <c r="CM21" s="76">
        <f>IF(B21="","",C21*IF(P21="Tripolar/Al",1,0))</f>
      </c>
      <c r="CN21" s="40">
        <f t="shared" si="7"/>
      </c>
      <c r="CO21" s="40">
        <f aca="true" t="shared" si="52" ref="CO21:CO27">IF(B21="","",AL21-CG21+1.25*CG21)</f>
      </c>
      <c r="CP21" s="40">
        <f aca="true" t="shared" si="53" ref="CP21:CP27">IF(B21="","",AO21-CH21+1.25*CH21)</f>
      </c>
      <c r="CQ21" s="40">
        <f aca="true" t="shared" si="54" ref="CQ21:CQ27">IF(B21="","",AR21-CI21+1.25*CI21)</f>
      </c>
      <c r="CR21" s="40">
        <f t="shared" si="8"/>
      </c>
      <c r="CS21" s="40">
        <f t="shared" si="9"/>
      </c>
      <c r="CT21" s="40">
        <f aca="true" t="shared" si="55" ref="CT21:CT87">IF($B21="","",I21*IF($I$14="Sí",IF(OR($D21="T",$D21="RST"),$W21)+SUMIF(INICIO,$B21,I_tramoT),0))</f>
      </c>
      <c r="CU21" s="40">
        <f aca="true" t="shared" si="56" ref="CU21:CU28">IF(B21="","",CR21-CG21+1.25*CG21)</f>
      </c>
      <c r="CV21" s="40">
        <f aca="true" t="shared" si="57" ref="CV21:CV28">IF(B21="","",CS21-CH21+1.25*CH21)</f>
      </c>
      <c r="CW21" s="40">
        <f aca="true" t="shared" si="58" ref="CW21:CW28">IF(B21="","",CT21-CI21+1.25*CI21)</f>
      </c>
      <c r="CX21" s="40">
        <f t="shared" si="10"/>
      </c>
      <c r="CY21" s="40">
        <f t="shared" si="11"/>
      </c>
      <c r="CZ21" s="40">
        <f aca="true" t="shared" si="59" ref="CZ21:CZ27">IF($B21="","",I21*IF($I$14="Sí",IF(OR($D21="T",$D21="RST"),$W21*F21)+SUMIF(INICIO,$B21,IT_cosfi),0))</f>
      </c>
      <c r="DA21" s="40">
        <f aca="true" t="shared" si="60" ref="DA21:DA84">IF($X21="","",X21*AL21^2+Y21*AO21^2+Z21*AR21^2)</f>
      </c>
    </row>
    <row r="22" spans="1:105" ht="12.75">
      <c r="A22" s="61"/>
      <c r="B22" s="61"/>
      <c r="C22" s="61"/>
      <c r="D22" s="61"/>
      <c r="E22" s="61"/>
      <c r="F22" s="61"/>
      <c r="G22" s="61"/>
      <c r="H22" s="120"/>
      <c r="I22" s="61"/>
      <c r="J22" s="61"/>
      <c r="K22" s="61"/>
      <c r="L22" s="61"/>
      <c r="M22" s="61"/>
      <c r="N22" s="61"/>
      <c r="O22" s="61"/>
      <c r="P22" s="61"/>
      <c r="Q22" s="120"/>
      <c r="R22" s="120"/>
      <c r="S22" s="120"/>
      <c r="T22" s="120"/>
      <c r="U22" s="72">
        <f t="shared" si="4"/>
      </c>
      <c r="V22" s="72">
        <f t="shared" si="12"/>
      </c>
      <c r="W22" s="73">
        <f t="shared" si="13"/>
      </c>
      <c r="X22" s="72">
        <f t="shared" si="14"/>
      </c>
      <c r="Y22" s="72">
        <f t="shared" si="15"/>
      </c>
      <c r="Z22" s="72">
        <f t="shared" si="16"/>
      </c>
      <c r="AA22" s="72">
        <f t="shared" si="17"/>
      </c>
      <c r="AB22" s="72">
        <f t="shared" si="18"/>
      </c>
      <c r="AC22" s="72">
        <f t="shared" si="19"/>
      </c>
      <c r="AD22" s="74">
        <f t="shared" si="20"/>
      </c>
      <c r="AE22" s="73">
        <f aca="true" t="shared" si="61" ref="AE22:AE88">IF(B22="","",MAX(AL22,MAX(AO22,AR22))-CC22+1.25*CC22)</f>
      </c>
      <c r="AF22" s="40">
        <f aca="true" t="shared" si="62" ref="AF22:AF87">IF(B22="","",$D$6-MIN(BB22:BD22))</f>
      </c>
      <c r="AG22" s="40">
        <f t="shared" si="21"/>
      </c>
      <c r="AH22" s="40">
        <f t="shared" si="22"/>
      </c>
      <c r="AI22" s="270">
        <f t="shared" si="23"/>
      </c>
      <c r="AJ22" s="40">
        <f>IF($B22="","",I22*IF($G$14="Sí",IF(OR($D22="R",$D22="RST"),IF($D$2="Sí",IF($G22="Motor",$D$6*$W22/(BB22^2),$W22/$D$6)*($AV22*$F22+$AW22*SIN(ACOS($F22))),$W22*$F22))+SUMIF(INICIO,$B22,R_RE),0))</f>
      </c>
      <c r="AK22" s="40">
        <f>IF(B22="","",I22*IF($G$14="Sí",IF(OR($D22="R",$D22="RST"),IF($D$2="Sí",IF($G22="Motor",$D$6*$W22/(BB22^2),$W22/$D$6)*($AW22*$F22-$AV22*SIN(ACOS($F22))),-$W22*SIN(ACOS($F22))))+SUMIF(INICIO,$B22,R_IM),0))</f>
      </c>
      <c r="AL22" s="273">
        <f t="shared" si="24"/>
      </c>
      <c r="AM22" s="40">
        <f>IF(B22="","",I22*IF($H$14="Sí",IF(OR($D22="S",$D22="RST"),IF($D$2="Sí",IF($G22="Motor",$D$6*$W22/(BC22^2),$W22/$D$6)*($AX22*$F22+$AY22*SIN(ACOS($F22))),-$W22*$F22/2-SQRT(3)/2*$W22*SIN(ACOS($F22))))+SUMIF(INICIO,$B22,S_RE),0))</f>
      </c>
      <c r="AN22" s="40">
        <f>IF(B22="","",I22*IF($H$14="Sí",IF(OR($D22="S",$D22="RST"),IF($D$2="Sí",IF($G22="Motor",$D$6*$W22/(BC22^2),$W22/$D$6)*($AY22*$F22-$AX22*SIN(ACOS($F22))),-SQRT(3)/2*$W22*$F22+0.5*$W22*SIN(ACOS($F22))))+SUMIF(INICIO,$B22,S_IM),0))</f>
      </c>
      <c r="AO22" s="273">
        <f t="shared" si="25"/>
      </c>
      <c r="AP22" s="40">
        <f>IF(B22="","",I22*IF($I$14="Sí",IF(OR($D22="T",$D22="RST"),IF($D$2="Sí",IF($G22="Motor",$D$6*$W22/(BD22^2),$W22/$D$6)*($AZ22*$F22+$BA22*SIN(ACOS($F22))),-$W22*$F22/2+SQRT(3)/2*$W22*SIN(ACOS($F22))))+SUMIF(INICIO,$B22,T_RE),0))</f>
      </c>
      <c r="AQ22" s="272">
        <f>IF(B22="","",I22*IF($I$14="Sí",IF(OR($D22="T",$D22="RST"),IF($D$2="Sí",IF($G22="Motor",$D$6*$W22/(BD22^2),$W22/$D$6)*($BA22*$F22-$AZ22*SIN(ACOS($F22))),SQRT(3)/2*$W22*$F22+0.5*$W22*SIN(ACOS($F22))))+SUMIF(INICIO,$B22,T_IM),0))</f>
      </c>
      <c r="AR22" s="40">
        <f t="shared" si="26"/>
      </c>
      <c r="AS22" s="40">
        <f t="shared" si="27"/>
      </c>
      <c r="AT22" s="40">
        <f t="shared" si="28"/>
      </c>
      <c r="AU22" s="40">
        <f t="shared" si="29"/>
      </c>
      <c r="AV22" s="73">
        <f aca="true" t="shared" si="63" ref="AV22:AV88">IF(B22="","",SUMIF(FINAL,$A22,ac_R_Re)-($X22*$AJ22-$AB22*$AK22)-($AA22*$AS22-$AC22*$AT22))</f>
      </c>
      <c r="AW22" s="73">
        <f aca="true" t="shared" si="64" ref="AW22:AW88">IF(B22="","",SUMIF(FINAL,$A22,ac_R_Im)-($X22*$AK22+$AB22*$AJ22)-($AA22*$AT22+$AC22*$AS22))</f>
      </c>
      <c r="AX22" s="73">
        <f aca="true" t="shared" si="65" ref="AX22:AX88">IF(B22="","",SUMIF(FINAL,$A22,ac_S_Re)-($Y22*$AM22-$AB22*$AN22)-($AA22*$AS22-$AC22*$AT22))</f>
      </c>
      <c r="AY22" s="73">
        <f aca="true" t="shared" si="66" ref="AY22:AY88">IF(B22="","",SUMIF(FINAL,$A22,ac_S_Im)-($Y22*$AN22+$AB22*$AM22)-($AA22*$AT22+$AC22*$AS22))</f>
      </c>
      <c r="AZ22" s="73">
        <f aca="true" t="shared" si="67" ref="AZ22:AZ88">IF(B22="","",SUMIF(FINAL,$A22,ac_T_Re)-($Z22*$AP22-$AB22*$AQ22)-($AA22*$AS22-$AC22*$AT22))</f>
      </c>
      <c r="BA22" s="73">
        <f aca="true" t="shared" si="68" ref="BA22:BA88">IF(B22="","",SUMIF(FINAL,$A22,ac_T_Im)-($Z22*$AQ22+$AB22*$AP22)-($AA22*$AT22+$AC22*$AS22))</f>
      </c>
      <c r="BB22" s="73">
        <f aca="true" t="shared" si="69" ref="BB22:BB88">IF(B22="","",SQRT(AV22^2+AW22^2))</f>
      </c>
      <c r="BC22" s="73">
        <f aca="true" t="shared" si="70" ref="BC22:BC88">IF(B22="","",SQRT(AX22^2+AY22^2))</f>
      </c>
      <c r="BD22" s="73">
        <f aca="true" t="shared" si="71" ref="BD22:BD88">IF(B22="","",SQRT(AZ22^2+BA22^2))</f>
      </c>
      <c r="BE22" s="73">
        <f t="shared" si="30"/>
      </c>
      <c r="BF22" s="73">
        <f t="shared" si="31"/>
      </c>
      <c r="BG22" s="73">
        <f t="shared" si="32"/>
      </c>
      <c r="BH22" s="73">
        <f t="shared" si="33"/>
      </c>
      <c r="BI22" s="73">
        <f>IF(B22="","",100*($D$6-BC22)/$D$6)</f>
      </c>
      <c r="BJ22" s="73">
        <f>IF(B22="","",100*($D$6-BD22)/$D$6)</f>
      </c>
      <c r="BK22" s="40">
        <f aca="true" t="shared" si="72" ref="BK22:BK88">IF(B22="","",I22*(W22+SUMIF(INICIO,$B22,I_tramo)))</f>
      </c>
      <c r="BL22" s="40">
        <f aca="true" t="shared" si="73" ref="BL22:BL88">IF(B22="","",BK22-CC22+1.25*CC22)</f>
      </c>
      <c r="BM22" s="40">
        <f aca="true" t="shared" si="74" ref="BM22:BM88">IF(B22="","",SUMIF(FINAL,$A22,U_FINAL)-SQRT(3)*U22*CN22)</f>
      </c>
      <c r="BN22" s="40">
        <f t="shared" si="34"/>
      </c>
      <c r="BO22" s="40">
        <f t="shared" si="5"/>
      </c>
      <c r="BP22" s="40">
        <f t="shared" si="35"/>
      </c>
      <c r="BQ22" s="40">
        <f t="shared" si="36"/>
      </c>
      <c r="BR22" s="40">
        <f t="shared" si="37"/>
      </c>
      <c r="BS22" s="40">
        <f aca="true" t="shared" si="75" ref="BS22:BS88">IF(B22="","",100*($D$5-BR22)/$D$5)</f>
      </c>
      <c r="BT22" s="40">
        <f t="shared" si="38"/>
      </c>
      <c r="BU22" s="40">
        <f t="shared" si="39"/>
      </c>
      <c r="BV22" s="75">
        <f t="shared" si="40"/>
      </c>
      <c r="BW22" s="75">
        <f t="shared" si="41"/>
      </c>
      <c r="BX22" s="40">
        <f t="shared" si="6"/>
      </c>
      <c r="BY22" s="40">
        <f t="shared" si="42"/>
      </c>
      <c r="BZ22" s="61"/>
      <c r="CA22" s="73">
        <f t="shared" si="43"/>
      </c>
      <c r="CB22"/>
      <c r="CC22" s="73">
        <f t="shared" si="44"/>
      </c>
      <c r="CD22" s="73">
        <f t="shared" si="45"/>
      </c>
      <c r="CE22" s="73">
        <f t="shared" si="46"/>
      </c>
      <c r="CF22" s="73">
        <f t="shared" si="47"/>
      </c>
      <c r="CG22" s="73">
        <f t="shared" si="48"/>
      </c>
      <c r="CH22" s="73">
        <f t="shared" si="49"/>
      </c>
      <c r="CI22" s="73">
        <f t="shared" si="50"/>
      </c>
      <c r="CJ22" s="76">
        <f t="shared" si="51"/>
      </c>
      <c r="CK22" s="76">
        <f aca="true" t="shared" si="76" ref="CK22:CK88">IF(B22="","",C22*IF(P22="Unipolar/Al",3,0))</f>
      </c>
      <c r="CL22" s="76">
        <f aca="true" t="shared" si="77" ref="CL22:CL88">IF(B22="","",C22*IF(P22="Tripolar/Cu",1,0))</f>
      </c>
      <c r="CM22" s="76">
        <f aca="true" t="shared" si="78" ref="CM22:CM88">IF(B22="","",C22*IF(P22="Tripolar/Al",1,0))</f>
      </c>
      <c r="CN22" s="40">
        <f t="shared" si="7"/>
      </c>
      <c r="CO22" s="40">
        <f t="shared" si="52"/>
      </c>
      <c r="CP22" s="40">
        <f t="shared" si="53"/>
      </c>
      <c r="CQ22" s="40">
        <f t="shared" si="54"/>
      </c>
      <c r="CR22" s="40">
        <f t="shared" si="8"/>
      </c>
      <c r="CS22" s="40">
        <f t="shared" si="9"/>
      </c>
      <c r="CT22" s="40">
        <f t="shared" si="55"/>
      </c>
      <c r="CU22" s="40">
        <f t="shared" si="56"/>
      </c>
      <c r="CV22" s="40">
        <f t="shared" si="57"/>
      </c>
      <c r="CW22" s="40">
        <f t="shared" si="58"/>
      </c>
      <c r="CX22" s="40">
        <f t="shared" si="10"/>
      </c>
      <c r="CY22" s="40">
        <f t="shared" si="11"/>
      </c>
      <c r="CZ22" s="40">
        <f t="shared" si="59"/>
      </c>
      <c r="DA22" s="40">
        <f t="shared" si="60"/>
      </c>
    </row>
    <row r="23" spans="1:105" ht="12.75">
      <c r="A23" s="61"/>
      <c r="B23" s="61"/>
      <c r="C23" s="61"/>
      <c r="D23" s="61"/>
      <c r="E23" s="61"/>
      <c r="F23" s="61"/>
      <c r="G23" s="61"/>
      <c r="H23" s="120"/>
      <c r="I23" s="61"/>
      <c r="J23" s="61"/>
      <c r="K23" s="61"/>
      <c r="L23" s="61"/>
      <c r="M23" s="61"/>
      <c r="N23" s="61"/>
      <c r="O23" s="61"/>
      <c r="P23" s="61"/>
      <c r="Q23" s="120"/>
      <c r="R23" s="120"/>
      <c r="S23" s="120"/>
      <c r="T23" s="120"/>
      <c r="U23" s="72">
        <f t="shared" si="4"/>
      </c>
      <c r="V23" s="72">
        <f t="shared" si="12"/>
      </c>
      <c r="W23" s="73">
        <f t="shared" si="13"/>
      </c>
      <c r="X23" s="72">
        <f t="shared" si="14"/>
      </c>
      <c r="Y23" s="72">
        <f t="shared" si="15"/>
      </c>
      <c r="Z23" s="72">
        <f t="shared" si="16"/>
      </c>
      <c r="AA23" s="72">
        <f t="shared" si="17"/>
      </c>
      <c r="AB23" s="72">
        <f t="shared" si="18"/>
      </c>
      <c r="AC23" s="72">
        <f t="shared" si="19"/>
      </c>
      <c r="AD23" s="74">
        <f t="shared" si="20"/>
      </c>
      <c r="AE23" s="73">
        <f t="shared" si="61"/>
      </c>
      <c r="AF23" s="40">
        <f t="shared" si="62"/>
      </c>
      <c r="AG23" s="40">
        <f t="shared" si="21"/>
      </c>
      <c r="AH23" s="40">
        <f t="shared" si="22"/>
      </c>
      <c r="AI23" s="270">
        <f t="shared" si="23"/>
      </c>
      <c r="AJ23" s="40">
        <f>IF($B23="","",I23*IF($G$14="Sí",IF(OR($D23="R",$D23="RST"),IF($D$2="Sí",IF($G23="Motor",$D$6*$W23/(BB23^2),$W23/$D$6)*($AV23*$F23+$AW23*SIN(ACOS($F23))),$W23*$F23))+SUMIF(INICIO,$B23,R_RE),0))</f>
      </c>
      <c r="AK23" s="40">
        <f>IF(B23="","",I23*IF($G$14="Sí",IF(OR($D23="R",$D23="RST"),IF($D$2="Sí",IF($G23="Motor",$D$6*$W23/(BB23^2),$W23/$D$6)*($AW23*$F23-$AV23*SIN(ACOS($F23))),-$W23*SIN(ACOS($F23))))+SUMIF(INICIO,$B23,R_IM),0))</f>
      </c>
      <c r="AL23" s="273">
        <f t="shared" si="24"/>
      </c>
      <c r="AM23" s="40">
        <f>IF(B23="","",I23*IF($H$14="Sí",IF(OR($D23="S",$D23="RST"),IF($D$2="Sí",IF($G23="Motor",$D$6*$W23/(BC23^2),$W23/$D$6)*($AX23*$F23+$AY23*SIN(ACOS($F23))),-$W23*$F23/2-SQRT(3)/2*$W23*SIN(ACOS($F23))))+SUMIF(INICIO,$B23,S_RE),0))</f>
      </c>
      <c r="AN23" s="40">
        <f>IF(B23="","",I23*IF($H$14="Sí",IF(OR($D23="S",$D23="RST"),IF($D$2="Sí",IF($G23="Motor",$D$6*$W23/(BC23^2),$W23/$D$6)*($AY23*$F23-$AX23*SIN(ACOS($F23))),-SQRT(3)/2*$W23*$F23+0.5*$W23*SIN(ACOS($F23))))+SUMIF(INICIO,$B23,S_IM),0))</f>
      </c>
      <c r="AO23" s="273">
        <f t="shared" si="25"/>
      </c>
      <c r="AP23" s="40">
        <f>IF(B23="","",I23*IF($I$14="Sí",IF(OR($D23="T",$D23="RST"),IF($D$2="Sí",IF($G23="Motor",$D$6*$W23/(BD23^2),$W23/$D$6)*($AZ23*$F23+$BA23*SIN(ACOS($F23))),-$W23*$F23/2+SQRT(3)/2*$W23*SIN(ACOS($F23))))+SUMIF(INICIO,$B23,T_RE),0))</f>
      </c>
      <c r="AQ23" s="272">
        <f>IF(B23="","",I23*IF($I$14="Sí",IF(OR($D23="T",$D23="RST"),IF($D$2="Sí",IF($G23="Motor",$D$6*$W23/(BD23^2),$W23/$D$6)*($BA23*$F23-$AZ23*SIN(ACOS($F23))),SQRT(3)/2*$W23*$F23+0.5*$W23*SIN(ACOS($F23))))+SUMIF(INICIO,$B23,T_IM),0))</f>
      </c>
      <c r="AR23" s="40">
        <f t="shared" si="26"/>
      </c>
      <c r="AS23" s="40">
        <f t="shared" si="27"/>
      </c>
      <c r="AT23" s="40">
        <f t="shared" si="28"/>
      </c>
      <c r="AU23" s="40">
        <f t="shared" si="29"/>
      </c>
      <c r="AV23" s="73">
        <f t="shared" si="63"/>
      </c>
      <c r="AW23" s="73">
        <f t="shared" si="64"/>
      </c>
      <c r="AX23" s="73">
        <f t="shared" si="65"/>
      </c>
      <c r="AY23" s="73">
        <f t="shared" si="66"/>
      </c>
      <c r="AZ23" s="73">
        <f t="shared" si="67"/>
      </c>
      <c r="BA23" s="73">
        <f t="shared" si="68"/>
      </c>
      <c r="BB23" s="73">
        <f t="shared" si="69"/>
      </c>
      <c r="BC23" s="73">
        <f t="shared" si="70"/>
      </c>
      <c r="BD23" s="73">
        <f t="shared" si="71"/>
      </c>
      <c r="BE23" s="73">
        <f t="shared" si="30"/>
      </c>
      <c r="BF23" s="73">
        <f t="shared" si="31"/>
      </c>
      <c r="BG23" s="73">
        <f t="shared" si="32"/>
      </c>
      <c r="BH23" s="73">
        <f t="shared" si="33"/>
      </c>
      <c r="BI23" s="73">
        <f aca="true" t="shared" si="79" ref="BI23:BI34">IF(B23="","",100*($D$6-BC23)/$D$6)</f>
      </c>
      <c r="BJ23" s="73">
        <f aca="true" t="shared" si="80" ref="BJ23:BJ34">IF(B23="","",100*($D$6-BD23)/$D$6)</f>
      </c>
      <c r="BK23" s="40">
        <f t="shared" si="72"/>
      </c>
      <c r="BL23" s="40">
        <f t="shared" si="73"/>
      </c>
      <c r="BM23" s="40">
        <f t="shared" si="74"/>
      </c>
      <c r="BN23" s="40">
        <f t="shared" si="34"/>
      </c>
      <c r="BO23" s="40">
        <f t="shared" si="5"/>
      </c>
      <c r="BP23" s="40">
        <f t="shared" si="35"/>
      </c>
      <c r="BQ23" s="40">
        <f t="shared" si="36"/>
      </c>
      <c r="BR23" s="40">
        <f t="shared" si="37"/>
      </c>
      <c r="BS23" s="40">
        <f t="shared" si="75"/>
      </c>
      <c r="BT23" s="40">
        <f t="shared" si="38"/>
      </c>
      <c r="BU23" s="40">
        <f t="shared" si="39"/>
      </c>
      <c r="BV23" s="75">
        <f t="shared" si="40"/>
      </c>
      <c r="BW23" s="75">
        <f t="shared" si="41"/>
      </c>
      <c r="BX23" s="40">
        <f t="shared" si="6"/>
      </c>
      <c r="BY23" s="40">
        <f t="shared" si="42"/>
      </c>
      <c r="BZ23" s="61"/>
      <c r="CA23" s="73">
        <f t="shared" si="43"/>
      </c>
      <c r="CB23"/>
      <c r="CC23" s="73">
        <f t="shared" si="44"/>
      </c>
      <c r="CD23" s="73">
        <f t="shared" si="45"/>
      </c>
      <c r="CE23" s="73">
        <f t="shared" si="46"/>
      </c>
      <c r="CF23" s="73">
        <f t="shared" si="47"/>
      </c>
      <c r="CG23" s="73">
        <f t="shared" si="48"/>
      </c>
      <c r="CH23" s="73">
        <f t="shared" si="49"/>
      </c>
      <c r="CI23" s="73">
        <f t="shared" si="50"/>
      </c>
      <c r="CJ23" s="76">
        <f t="shared" si="51"/>
      </c>
      <c r="CK23" s="76">
        <f t="shared" si="76"/>
      </c>
      <c r="CL23" s="76">
        <f t="shared" si="77"/>
      </c>
      <c r="CM23" s="76">
        <f t="shared" si="78"/>
      </c>
      <c r="CN23" s="40">
        <f t="shared" si="7"/>
      </c>
      <c r="CO23" s="40">
        <f t="shared" si="52"/>
      </c>
      <c r="CP23" s="40">
        <f t="shared" si="53"/>
      </c>
      <c r="CQ23" s="40">
        <f t="shared" si="54"/>
      </c>
      <c r="CR23" s="40">
        <f t="shared" si="8"/>
      </c>
      <c r="CS23" s="40">
        <f t="shared" si="9"/>
      </c>
      <c r="CT23" s="40">
        <f t="shared" si="55"/>
      </c>
      <c r="CU23" s="40">
        <f t="shared" si="56"/>
      </c>
      <c r="CV23" s="40">
        <f t="shared" si="57"/>
      </c>
      <c r="CW23" s="40">
        <f t="shared" si="58"/>
      </c>
      <c r="CX23" s="40">
        <f t="shared" si="10"/>
      </c>
      <c r="CY23" s="40">
        <f t="shared" si="11"/>
      </c>
      <c r="CZ23" s="40">
        <f t="shared" si="59"/>
      </c>
      <c r="DA23" s="40">
        <f t="shared" si="60"/>
      </c>
    </row>
    <row r="24" spans="1:105" ht="12.75">
      <c r="A24" s="61"/>
      <c r="B24" s="61"/>
      <c r="C24" s="61"/>
      <c r="D24" s="61"/>
      <c r="E24" s="61"/>
      <c r="F24" s="61"/>
      <c r="G24" s="61"/>
      <c r="H24" s="120"/>
      <c r="I24" s="61"/>
      <c r="J24" s="61"/>
      <c r="K24" s="61"/>
      <c r="L24" s="61"/>
      <c r="M24" s="61"/>
      <c r="N24" s="61"/>
      <c r="O24" s="61"/>
      <c r="P24" s="61"/>
      <c r="Q24" s="120"/>
      <c r="R24" s="120"/>
      <c r="S24" s="120"/>
      <c r="T24" s="120"/>
      <c r="U24" s="72">
        <f t="shared" si="4"/>
      </c>
      <c r="V24" s="72">
        <f t="shared" si="12"/>
      </c>
      <c r="W24" s="73">
        <f t="shared" si="13"/>
      </c>
      <c r="X24" s="72">
        <f t="shared" si="14"/>
      </c>
      <c r="Y24" s="72">
        <f t="shared" si="15"/>
      </c>
      <c r="Z24" s="72">
        <f t="shared" si="16"/>
      </c>
      <c r="AA24" s="72">
        <f t="shared" si="17"/>
      </c>
      <c r="AB24" s="72">
        <f t="shared" si="18"/>
      </c>
      <c r="AC24" s="72">
        <f t="shared" si="19"/>
      </c>
      <c r="AD24" s="74">
        <f t="shared" si="20"/>
      </c>
      <c r="AE24" s="73">
        <f t="shared" si="61"/>
      </c>
      <c r="AF24" s="40">
        <f t="shared" si="62"/>
      </c>
      <c r="AG24" s="40">
        <f t="shared" si="21"/>
      </c>
      <c r="AH24" s="40">
        <f t="shared" si="22"/>
      </c>
      <c r="AI24" s="270">
        <f t="shared" si="23"/>
      </c>
      <c r="AJ24" s="40">
        <f>IF($B24="","",I24*IF($G$14="Sí",IF(OR($D24="R",$D24="RST"),IF($D$2="Sí",IF($G24="Motor",$D$6*$W24/(BB24^2),$W24/$D$6)*($AV24*$F24+$AW24*SIN(ACOS($F24))),$W24*$F24))+SUMIF(INICIO,$B24,R_RE),0))</f>
      </c>
      <c r="AK24" s="40">
        <f>IF(B24="","",I24*IF($G$14="Sí",IF(OR($D24="R",$D24="RST"),IF($D$2="Sí",IF($G24="Motor",$D$6*$W24/(BB24^2),$W24/$D$6)*($AW24*$F24-$AV24*SIN(ACOS($F24))),-$W24*SIN(ACOS($F24))))+SUMIF(INICIO,$B24,R_IM),0))</f>
      </c>
      <c r="AL24" s="273">
        <f t="shared" si="24"/>
      </c>
      <c r="AM24" s="40">
        <f>IF(B24="","",I24*IF($H$14="Sí",IF(OR($D24="S",$D24="RST"),IF($D$2="Sí",IF($G24="Motor",$D$6*$W24/(BC24^2),$W24/$D$6)*($AX24*$F24+$AY24*SIN(ACOS($F24))),-$W24*$F24/2-SQRT(3)/2*$W24*SIN(ACOS($F24))))+SUMIF(INICIO,$B24,S_RE),0))</f>
      </c>
      <c r="AN24" s="40">
        <f>IF(B24="","",I24*IF($H$14="Sí",IF(OR($D24="S",$D24="RST"),IF($D$2="Sí",IF($G24="Motor",$D$6*$W24/(BC24^2),$W24/$D$6)*($AY24*$F24-$AX24*SIN(ACOS($F24))),-SQRT(3)/2*$W24*$F24+0.5*$W24*SIN(ACOS($F24))))+SUMIF(INICIO,$B24,S_IM),0))</f>
      </c>
      <c r="AO24" s="273">
        <f t="shared" si="25"/>
      </c>
      <c r="AP24" s="40">
        <f>IF(B24="","",I24*IF($I$14="Sí",IF(OR($D24="T",$D24="RST"),IF($D$2="Sí",IF($G24="Motor",$D$6*$W24/(BD24^2),$W24/$D$6)*($AZ24*$F24+$BA24*SIN(ACOS($F24))),-$W24*$F24/2+SQRT(3)/2*$W24*SIN(ACOS($F24))))+SUMIF(INICIO,$B24,T_RE),0))</f>
      </c>
      <c r="AQ24" s="272">
        <f>IF(B24="","",I24*IF($I$14="Sí",IF(OR($D24="T",$D24="RST"),IF($D$2="Sí",IF($G24="Motor",$D$6*$W24/(BD24^2),$W24/$D$6)*($BA24*$F24-$AZ24*SIN(ACOS($F24))),SQRT(3)/2*$W24*$F24+0.5*$W24*SIN(ACOS($F24))))+SUMIF(INICIO,$B24,T_IM),0))</f>
      </c>
      <c r="AR24" s="40">
        <f t="shared" si="26"/>
      </c>
      <c r="AS24" s="40">
        <f t="shared" si="27"/>
      </c>
      <c r="AT24" s="40">
        <f t="shared" si="28"/>
      </c>
      <c r="AU24" s="40">
        <f t="shared" si="29"/>
      </c>
      <c r="AV24" s="73">
        <f t="shared" si="63"/>
      </c>
      <c r="AW24" s="73">
        <f t="shared" si="64"/>
      </c>
      <c r="AX24" s="73">
        <f t="shared" si="65"/>
      </c>
      <c r="AY24" s="73">
        <f t="shared" si="66"/>
      </c>
      <c r="AZ24" s="73">
        <f t="shared" si="67"/>
      </c>
      <c r="BA24" s="73">
        <f t="shared" si="68"/>
      </c>
      <c r="BB24" s="73">
        <f t="shared" si="69"/>
      </c>
      <c r="BC24" s="73">
        <f t="shared" si="70"/>
      </c>
      <c r="BD24" s="73">
        <f t="shared" si="71"/>
      </c>
      <c r="BE24" s="73">
        <f t="shared" si="30"/>
      </c>
      <c r="BF24" s="73">
        <f t="shared" si="31"/>
      </c>
      <c r="BG24" s="73">
        <f t="shared" si="32"/>
      </c>
      <c r="BH24" s="73">
        <f t="shared" si="33"/>
      </c>
      <c r="BI24" s="73">
        <f t="shared" si="79"/>
      </c>
      <c r="BJ24" s="73">
        <f t="shared" si="80"/>
      </c>
      <c r="BK24" s="40">
        <f t="shared" si="72"/>
      </c>
      <c r="BL24" s="40">
        <f t="shared" si="73"/>
      </c>
      <c r="BM24" s="40">
        <f t="shared" si="74"/>
      </c>
      <c r="BN24" s="40">
        <f t="shared" si="34"/>
      </c>
      <c r="BO24" s="40">
        <f t="shared" si="5"/>
      </c>
      <c r="BP24" s="40">
        <f t="shared" si="35"/>
      </c>
      <c r="BQ24" s="40">
        <f t="shared" si="36"/>
      </c>
      <c r="BR24" s="40">
        <f t="shared" si="37"/>
      </c>
      <c r="BS24" s="40">
        <f t="shared" si="75"/>
      </c>
      <c r="BT24" s="40">
        <f t="shared" si="38"/>
      </c>
      <c r="BU24" s="40">
        <f t="shared" si="39"/>
      </c>
      <c r="BV24" s="75">
        <f t="shared" si="40"/>
      </c>
      <c r="BW24" s="75">
        <f t="shared" si="41"/>
      </c>
      <c r="BX24" s="40">
        <f t="shared" si="6"/>
      </c>
      <c r="BY24" s="40">
        <f t="shared" si="42"/>
      </c>
      <c r="BZ24" s="61"/>
      <c r="CA24" s="73">
        <f t="shared" si="43"/>
      </c>
      <c r="CB24"/>
      <c r="CC24" s="73">
        <f t="shared" si="44"/>
      </c>
      <c r="CD24" s="73">
        <f t="shared" si="45"/>
      </c>
      <c r="CE24" s="73">
        <f t="shared" si="46"/>
      </c>
      <c r="CF24" s="73">
        <f t="shared" si="47"/>
      </c>
      <c r="CG24" s="73">
        <f t="shared" si="48"/>
      </c>
      <c r="CH24" s="73">
        <f t="shared" si="49"/>
      </c>
      <c r="CI24" s="73">
        <f t="shared" si="50"/>
      </c>
      <c r="CJ24" s="76">
        <f t="shared" si="51"/>
      </c>
      <c r="CK24" s="76">
        <f t="shared" si="76"/>
      </c>
      <c r="CL24" s="76">
        <f t="shared" si="77"/>
      </c>
      <c r="CM24" s="76">
        <f t="shared" si="78"/>
      </c>
      <c r="CN24" s="40">
        <f t="shared" si="7"/>
      </c>
      <c r="CO24" s="40">
        <f t="shared" si="52"/>
      </c>
      <c r="CP24" s="40">
        <f t="shared" si="53"/>
      </c>
      <c r="CQ24" s="40">
        <f t="shared" si="54"/>
      </c>
      <c r="CR24" s="40">
        <f t="shared" si="8"/>
      </c>
      <c r="CS24" s="40">
        <f t="shared" si="9"/>
      </c>
      <c r="CT24" s="40">
        <f t="shared" si="55"/>
      </c>
      <c r="CU24" s="40">
        <f t="shared" si="56"/>
      </c>
      <c r="CV24" s="40">
        <f t="shared" si="57"/>
      </c>
      <c r="CW24" s="40">
        <f t="shared" si="58"/>
      </c>
      <c r="CX24" s="40">
        <f t="shared" si="10"/>
      </c>
      <c r="CY24" s="40">
        <f t="shared" si="11"/>
      </c>
      <c r="CZ24" s="40">
        <f t="shared" si="59"/>
      </c>
      <c r="DA24" s="40">
        <f t="shared" si="60"/>
      </c>
    </row>
    <row r="25" spans="1:105" ht="12.75">
      <c r="A25" s="61"/>
      <c r="B25" s="61"/>
      <c r="C25" s="61"/>
      <c r="D25" s="61"/>
      <c r="E25" s="61"/>
      <c r="F25" s="61"/>
      <c r="G25" s="61"/>
      <c r="H25" s="120"/>
      <c r="I25" s="61"/>
      <c r="J25" s="61"/>
      <c r="K25" s="61"/>
      <c r="L25" s="61"/>
      <c r="M25" s="61"/>
      <c r="N25" s="61"/>
      <c r="O25" s="61"/>
      <c r="P25" s="61"/>
      <c r="Q25" s="120"/>
      <c r="R25" s="120"/>
      <c r="S25" s="120"/>
      <c r="T25" s="120"/>
      <c r="U25" s="72">
        <f t="shared" si="4"/>
      </c>
      <c r="V25" s="72">
        <f t="shared" si="12"/>
      </c>
      <c r="W25" s="73">
        <f t="shared" si="13"/>
      </c>
      <c r="X25" s="72">
        <f t="shared" si="14"/>
      </c>
      <c r="Y25" s="72">
        <f t="shared" si="15"/>
      </c>
      <c r="Z25" s="72">
        <f t="shared" si="16"/>
      </c>
      <c r="AA25" s="72">
        <f t="shared" si="17"/>
      </c>
      <c r="AB25" s="72">
        <f t="shared" si="18"/>
      </c>
      <c r="AC25" s="72">
        <f t="shared" si="19"/>
      </c>
      <c r="AD25" s="74">
        <f t="shared" si="20"/>
      </c>
      <c r="AE25" s="73">
        <f t="shared" si="61"/>
      </c>
      <c r="AF25" s="40">
        <f t="shared" si="62"/>
      </c>
      <c r="AG25" s="40">
        <f t="shared" si="21"/>
      </c>
      <c r="AH25" s="40">
        <f t="shared" si="22"/>
      </c>
      <c r="AI25" s="270">
        <f t="shared" si="23"/>
      </c>
      <c r="AJ25" s="40">
        <f>IF($B25="","",I25*IF($G$14="Sí",IF(OR($D25="R",$D25="RST"),IF($D$2="Sí",IF($G25="Motor",$D$6*$W25/(BB25^2),$W25/$D$6)*($AV25*$F25+$AW25*SIN(ACOS($F25))),$W25*$F25))+SUMIF(INICIO,$B25,R_RE),0))</f>
      </c>
      <c r="AK25" s="40">
        <f>IF(B25="","",I25*IF($G$14="Sí",IF(OR($D25="R",$D25="RST"),IF($D$2="Sí",IF($G25="Motor",$D$6*$W25/(BB25^2),$W25/$D$6)*($AW25*$F25-$AV25*SIN(ACOS($F25))),-$W25*SIN(ACOS($F25))))+SUMIF(INICIO,$B25,R_IM),0))</f>
      </c>
      <c r="AL25" s="273">
        <f t="shared" si="24"/>
      </c>
      <c r="AM25" s="40">
        <f>IF(B25="","",I25*IF($H$14="Sí",IF(OR($D25="S",$D25="RST"),IF($D$2="Sí",IF($G25="Motor",$D$6*$W25/(BC25^2),$W25/$D$6)*($AX25*$F25+$AY25*SIN(ACOS($F25))),-$W25*$F25/2-SQRT(3)/2*$W25*SIN(ACOS($F25))))+SUMIF(INICIO,$B25,S_RE),0))</f>
      </c>
      <c r="AN25" s="40">
        <f>IF(B25="","",I25*IF($H$14="Sí",IF(OR($D25="S",$D25="RST"),IF($D$2="Sí",IF($G25="Motor",$D$6*$W25/(BC25^2),$W25/$D$6)*($AY25*$F25-$AX25*SIN(ACOS($F25))),-SQRT(3)/2*$W25*$F25+0.5*$W25*SIN(ACOS($F25))))+SUMIF(INICIO,$B25,S_IM),0))</f>
      </c>
      <c r="AO25" s="273">
        <f t="shared" si="25"/>
      </c>
      <c r="AP25" s="40">
        <f>IF(B25="","",I25*IF($I$14="Sí",IF(OR($D25="T",$D25="RST"),IF($D$2="Sí",IF($G25="Motor",$D$6*$W25/(BD25^2),$W25/$D$6)*($AZ25*$F25+$BA25*SIN(ACOS($F25))),-$W25*$F25/2+SQRT(3)/2*$W25*SIN(ACOS($F25))))+SUMIF(INICIO,$B25,T_RE),0))</f>
      </c>
      <c r="AQ25" s="272">
        <f>IF(B25="","",I25*IF($I$14="Sí",IF(OR($D25="T",$D25="RST"),IF($D$2="Sí",IF($G25="Motor",$D$6*$W25/(BD25^2),$W25/$D$6)*($BA25*$F25-$AZ25*SIN(ACOS($F25))),SQRT(3)/2*$W25*$F25+0.5*$W25*SIN(ACOS($F25))))+SUMIF(INICIO,$B25,T_IM),0))</f>
      </c>
      <c r="AR25" s="40">
        <f t="shared" si="26"/>
      </c>
      <c r="AS25" s="40">
        <f t="shared" si="27"/>
      </c>
      <c r="AT25" s="40">
        <f t="shared" si="28"/>
      </c>
      <c r="AU25" s="40">
        <f t="shared" si="29"/>
      </c>
      <c r="AV25" s="73">
        <f t="shared" si="63"/>
      </c>
      <c r="AW25" s="73">
        <f t="shared" si="64"/>
      </c>
      <c r="AX25" s="73">
        <f t="shared" si="65"/>
      </c>
      <c r="AY25" s="73">
        <f t="shared" si="66"/>
      </c>
      <c r="AZ25" s="73">
        <f t="shared" si="67"/>
      </c>
      <c r="BA25" s="73">
        <f t="shared" si="68"/>
      </c>
      <c r="BB25" s="73">
        <f t="shared" si="69"/>
      </c>
      <c r="BC25" s="73">
        <f t="shared" si="70"/>
      </c>
      <c r="BD25" s="73">
        <f t="shared" si="71"/>
      </c>
      <c r="BE25" s="73">
        <f t="shared" si="30"/>
      </c>
      <c r="BF25" s="73">
        <f t="shared" si="31"/>
      </c>
      <c r="BG25" s="73">
        <f t="shared" si="32"/>
      </c>
      <c r="BH25" s="73">
        <f t="shared" si="33"/>
      </c>
      <c r="BI25" s="73">
        <f t="shared" si="79"/>
      </c>
      <c r="BJ25" s="73">
        <f t="shared" si="80"/>
      </c>
      <c r="BK25" s="40">
        <f t="shared" si="72"/>
      </c>
      <c r="BL25" s="40">
        <f t="shared" si="73"/>
      </c>
      <c r="BM25" s="40">
        <f t="shared" si="74"/>
      </c>
      <c r="BN25" s="40">
        <f t="shared" si="34"/>
      </c>
      <c r="BO25" s="40">
        <f t="shared" si="5"/>
      </c>
      <c r="BP25" s="40">
        <f t="shared" si="35"/>
      </c>
      <c r="BQ25" s="40">
        <f t="shared" si="36"/>
      </c>
      <c r="BR25" s="40">
        <f t="shared" si="37"/>
      </c>
      <c r="BS25" s="40">
        <f t="shared" si="75"/>
      </c>
      <c r="BT25" s="40">
        <f t="shared" si="38"/>
      </c>
      <c r="BU25" s="40">
        <f t="shared" si="39"/>
      </c>
      <c r="BV25" s="75">
        <f t="shared" si="40"/>
      </c>
      <c r="BW25" s="75">
        <f t="shared" si="41"/>
      </c>
      <c r="BX25" s="40">
        <f t="shared" si="6"/>
      </c>
      <c r="BY25" s="40">
        <f t="shared" si="42"/>
      </c>
      <c r="BZ25" s="61"/>
      <c r="CA25" s="73">
        <f t="shared" si="43"/>
      </c>
      <c r="CB25"/>
      <c r="CC25" s="73">
        <f t="shared" si="44"/>
      </c>
      <c r="CD25" s="73">
        <f t="shared" si="45"/>
      </c>
      <c r="CE25" s="73">
        <f t="shared" si="46"/>
      </c>
      <c r="CF25" s="73">
        <f t="shared" si="47"/>
      </c>
      <c r="CG25" s="73">
        <f t="shared" si="48"/>
      </c>
      <c r="CH25" s="73">
        <f t="shared" si="49"/>
      </c>
      <c r="CI25" s="73">
        <f t="shared" si="50"/>
      </c>
      <c r="CJ25" s="76">
        <f t="shared" si="51"/>
      </c>
      <c r="CK25" s="76">
        <f t="shared" si="76"/>
      </c>
      <c r="CL25" s="76">
        <f t="shared" si="77"/>
      </c>
      <c r="CM25" s="76">
        <f t="shared" si="78"/>
      </c>
      <c r="CN25" s="40">
        <f t="shared" si="7"/>
      </c>
      <c r="CO25" s="40">
        <f t="shared" si="52"/>
      </c>
      <c r="CP25" s="40">
        <f t="shared" si="53"/>
      </c>
      <c r="CQ25" s="40">
        <f t="shared" si="54"/>
      </c>
      <c r="CR25" s="40">
        <f t="shared" si="8"/>
      </c>
      <c r="CS25" s="40">
        <f t="shared" si="9"/>
      </c>
      <c r="CT25" s="40">
        <f t="shared" si="55"/>
      </c>
      <c r="CU25" s="40">
        <f t="shared" si="56"/>
      </c>
      <c r="CV25" s="40">
        <f t="shared" si="57"/>
      </c>
      <c r="CW25" s="40">
        <f t="shared" si="58"/>
      </c>
      <c r="CX25" s="40">
        <f t="shared" si="10"/>
      </c>
      <c r="CY25" s="40">
        <f t="shared" si="11"/>
      </c>
      <c r="CZ25" s="40">
        <f t="shared" si="59"/>
      </c>
      <c r="DA25" s="40">
        <f t="shared" si="60"/>
      </c>
    </row>
    <row r="26" spans="1:105" ht="12.75">
      <c r="A26" s="61"/>
      <c r="B26" s="61"/>
      <c r="C26" s="61"/>
      <c r="D26" s="61"/>
      <c r="E26" s="61"/>
      <c r="F26" s="61"/>
      <c r="G26" s="61"/>
      <c r="H26" s="120"/>
      <c r="I26" s="61"/>
      <c r="J26" s="61"/>
      <c r="K26" s="61"/>
      <c r="L26" s="61"/>
      <c r="M26" s="61"/>
      <c r="N26" s="61"/>
      <c r="O26" s="61"/>
      <c r="P26" s="61"/>
      <c r="Q26" s="120"/>
      <c r="R26" s="120"/>
      <c r="S26" s="120"/>
      <c r="T26" s="120"/>
      <c r="U26" s="72">
        <f t="shared" si="4"/>
      </c>
      <c r="V26" s="72">
        <f t="shared" si="12"/>
      </c>
      <c r="W26" s="73">
        <f t="shared" si="13"/>
      </c>
      <c r="X26" s="72">
        <f t="shared" si="14"/>
      </c>
      <c r="Y26" s="72">
        <f t="shared" si="15"/>
      </c>
      <c r="Z26" s="72">
        <f t="shared" si="16"/>
      </c>
      <c r="AA26" s="72">
        <f t="shared" si="17"/>
      </c>
      <c r="AB26" s="72">
        <f t="shared" si="18"/>
      </c>
      <c r="AC26" s="72">
        <f t="shared" si="19"/>
      </c>
      <c r="AD26" s="74">
        <f t="shared" si="20"/>
      </c>
      <c r="AE26" s="73">
        <f t="shared" si="61"/>
      </c>
      <c r="AF26" s="40">
        <f t="shared" si="62"/>
      </c>
      <c r="AG26" s="40">
        <f t="shared" si="21"/>
      </c>
      <c r="AH26" s="40">
        <f t="shared" si="22"/>
      </c>
      <c r="AI26" s="270">
        <f t="shared" si="23"/>
      </c>
      <c r="AJ26" s="40">
        <f>IF($B26="","",I26*IF($G$14="Sí",IF(OR($D26="R",$D26="RST"),IF($D$2="Sí",IF($G26="Motor",$D$6*$W26/(BB26^2),$W26/$D$6)*($AV26*$F26+$AW26*SIN(ACOS($F26))),$W26*$F26))+SUMIF(INICIO,$B26,R_RE),0))</f>
      </c>
      <c r="AK26" s="40">
        <f>IF(B26="","",I26*IF($G$14="Sí",IF(OR($D26="R",$D26="RST"),IF($D$2="Sí",IF($G26="Motor",$D$6*$W26/(BB26^2),$W26/$D$6)*($AW26*$F26-$AV26*SIN(ACOS($F26))),-$W26*SIN(ACOS($F26))))+SUMIF(INICIO,$B26,R_IM),0))</f>
      </c>
      <c r="AL26" s="273">
        <f t="shared" si="24"/>
      </c>
      <c r="AM26" s="40">
        <f>IF(B26="","",I26*IF($H$14="Sí",IF(OR($D26="S",$D26="RST"),IF($D$2="Sí",IF($G26="Motor",$D$6*$W26/(BC26^2),$W26/$D$6)*($AX26*$F26+$AY26*SIN(ACOS($F26))),-$W26*$F26/2-SQRT(3)/2*$W26*SIN(ACOS($F26))))+SUMIF(INICIO,$B26,S_RE),0))</f>
      </c>
      <c r="AN26" s="40">
        <f>IF(B26="","",I26*IF($H$14="Sí",IF(OR($D26="S",$D26="RST"),IF($D$2="Sí",IF($G26="Motor",$D$6*$W26/(BC26^2),$W26/$D$6)*($AY26*$F26-$AX26*SIN(ACOS($F26))),-SQRT(3)/2*$W26*$F26+0.5*$W26*SIN(ACOS($F26))))+SUMIF(INICIO,$B26,S_IM),0))</f>
      </c>
      <c r="AO26" s="273">
        <f t="shared" si="25"/>
      </c>
      <c r="AP26" s="40">
        <f>IF(B26="","",I26*IF($I$14="Sí",IF(OR($D26="T",$D26="RST"),IF($D$2="Sí",IF($G26="Motor",$D$6*$W26/(BD26^2),$W26/$D$6)*($AZ26*$F26+$BA26*SIN(ACOS($F26))),-$W26*$F26/2+SQRT(3)/2*$W26*SIN(ACOS($F26))))+SUMIF(INICIO,$B26,T_RE),0))</f>
      </c>
      <c r="AQ26" s="272">
        <f>IF(B26="","",I26*IF($I$14="Sí",IF(OR($D26="T",$D26="RST"),IF($D$2="Sí",IF($G26="Motor",$D$6*$W26/(BD26^2),$W26/$D$6)*($BA26*$F26-$AZ26*SIN(ACOS($F26))),SQRT(3)/2*$W26*$F26+0.5*$W26*SIN(ACOS($F26))))+SUMIF(INICIO,$B26,T_IM),0))</f>
      </c>
      <c r="AR26" s="40">
        <f t="shared" si="26"/>
      </c>
      <c r="AS26" s="40">
        <f t="shared" si="27"/>
      </c>
      <c r="AT26" s="40">
        <f t="shared" si="28"/>
      </c>
      <c r="AU26" s="40">
        <f t="shared" si="29"/>
      </c>
      <c r="AV26" s="73">
        <f t="shared" si="63"/>
      </c>
      <c r="AW26" s="73">
        <f t="shared" si="64"/>
      </c>
      <c r="AX26" s="73">
        <f t="shared" si="65"/>
      </c>
      <c r="AY26" s="73">
        <f t="shared" si="66"/>
      </c>
      <c r="AZ26" s="73">
        <f t="shared" si="67"/>
      </c>
      <c r="BA26" s="73">
        <f t="shared" si="68"/>
      </c>
      <c r="BB26" s="73">
        <f t="shared" si="69"/>
      </c>
      <c r="BC26" s="73">
        <f t="shared" si="70"/>
      </c>
      <c r="BD26" s="73">
        <f t="shared" si="71"/>
      </c>
      <c r="BE26" s="73">
        <f t="shared" si="30"/>
      </c>
      <c r="BF26" s="73">
        <f t="shared" si="31"/>
      </c>
      <c r="BG26" s="73">
        <f t="shared" si="32"/>
      </c>
      <c r="BH26" s="73">
        <f t="shared" si="33"/>
      </c>
      <c r="BI26" s="73">
        <f t="shared" si="79"/>
      </c>
      <c r="BJ26" s="73">
        <f t="shared" si="80"/>
      </c>
      <c r="BK26" s="40">
        <f t="shared" si="72"/>
      </c>
      <c r="BL26" s="40">
        <f t="shared" si="73"/>
      </c>
      <c r="BM26" s="40">
        <f t="shared" si="74"/>
      </c>
      <c r="BN26" s="40">
        <f t="shared" si="34"/>
      </c>
      <c r="BO26" s="40">
        <f t="shared" si="5"/>
      </c>
      <c r="BP26" s="40">
        <f t="shared" si="35"/>
      </c>
      <c r="BQ26" s="40">
        <f t="shared" si="36"/>
      </c>
      <c r="BR26" s="40">
        <f t="shared" si="37"/>
      </c>
      <c r="BS26" s="40">
        <f t="shared" si="75"/>
      </c>
      <c r="BT26" s="40">
        <f t="shared" si="38"/>
      </c>
      <c r="BU26" s="40">
        <f t="shared" si="39"/>
      </c>
      <c r="BV26" s="75">
        <f t="shared" si="40"/>
      </c>
      <c r="BW26" s="75">
        <f t="shared" si="41"/>
      </c>
      <c r="BX26" s="40">
        <f t="shared" si="6"/>
      </c>
      <c r="BY26" s="40">
        <f t="shared" si="42"/>
      </c>
      <c r="BZ26" s="61"/>
      <c r="CA26" s="73">
        <f t="shared" si="43"/>
      </c>
      <c r="CB26"/>
      <c r="CC26" s="73">
        <f t="shared" si="44"/>
      </c>
      <c r="CD26" s="73">
        <f t="shared" si="45"/>
      </c>
      <c r="CE26" s="73">
        <f t="shared" si="46"/>
      </c>
      <c r="CF26" s="73">
        <f t="shared" si="47"/>
      </c>
      <c r="CG26" s="73">
        <f t="shared" si="48"/>
      </c>
      <c r="CH26" s="73">
        <f t="shared" si="49"/>
      </c>
      <c r="CI26" s="73">
        <f t="shared" si="50"/>
      </c>
      <c r="CJ26" s="76">
        <f t="shared" si="51"/>
      </c>
      <c r="CK26" s="76">
        <f t="shared" si="76"/>
      </c>
      <c r="CL26" s="76">
        <f t="shared" si="77"/>
      </c>
      <c r="CM26" s="76">
        <f t="shared" si="78"/>
      </c>
      <c r="CN26" s="40">
        <f t="shared" si="7"/>
      </c>
      <c r="CO26" s="40">
        <f t="shared" si="52"/>
      </c>
      <c r="CP26" s="40">
        <f t="shared" si="53"/>
      </c>
      <c r="CQ26" s="40">
        <f t="shared" si="54"/>
      </c>
      <c r="CR26" s="40">
        <f>IF($B26="","",I26*IF($G$14="Sí",IF(OR($D26="R",$D26="RST"),$W26)+SUMIF(INICIO,$B26,I_tramoR),0))</f>
      </c>
      <c r="CS26" s="40">
        <f aca="true" t="shared" si="81" ref="CS26:CS92">IF($B26="","",I26*IF($H$14="Sí",IF(OR($D26="S",$D26="RST"),$W26)+SUMIF(INICIO,$B26,I_tramoS),0))</f>
      </c>
      <c r="CT26" s="40">
        <f t="shared" si="55"/>
      </c>
      <c r="CU26" s="40">
        <f t="shared" si="56"/>
      </c>
      <c r="CV26" s="40">
        <f t="shared" si="57"/>
      </c>
      <c r="CW26" s="40">
        <f t="shared" si="58"/>
      </c>
      <c r="CX26" s="40">
        <f aca="true" t="shared" si="82" ref="CX26:CX92">IF($B26="","",I26*IF($G$14="Sí",IF(OR($D26="R",$D26="RST"),$W26*F26)+SUMIF(INICIO,$B26,IR_cosfi),0))</f>
      </c>
      <c r="CY26" s="40">
        <f aca="true" t="shared" si="83" ref="CY26:CY92">IF($B26="","",I26*IF($H$14="Sí",IF(OR($D26="S",$D26="RST"),$W26*F26)+SUMIF(INICIO,$B26,IS_cosfi),0))</f>
      </c>
      <c r="CZ26" s="40">
        <f t="shared" si="59"/>
      </c>
      <c r="DA26" s="40">
        <f t="shared" si="60"/>
      </c>
    </row>
    <row r="27" spans="1:105" ht="12.75">
      <c r="A27" s="61"/>
      <c r="B27" s="61"/>
      <c r="C27" s="61"/>
      <c r="D27" s="61"/>
      <c r="E27" s="61"/>
      <c r="F27" s="61"/>
      <c r="G27" s="61"/>
      <c r="H27" s="120"/>
      <c r="I27" s="61"/>
      <c r="J27" s="61"/>
      <c r="K27" s="61"/>
      <c r="L27" s="61"/>
      <c r="M27" s="61"/>
      <c r="N27" s="61"/>
      <c r="O27" s="61"/>
      <c r="P27" s="61"/>
      <c r="Q27" s="120"/>
      <c r="R27" s="120"/>
      <c r="S27" s="120"/>
      <c r="T27" s="120"/>
      <c r="U27" s="72">
        <f t="shared" si="4"/>
      </c>
      <c r="V27" s="72">
        <f t="shared" si="12"/>
      </c>
      <c r="W27" s="73">
        <f t="shared" si="13"/>
      </c>
      <c r="X27" s="72">
        <f t="shared" si="14"/>
      </c>
      <c r="Y27" s="72">
        <f t="shared" si="15"/>
      </c>
      <c r="Z27" s="72">
        <f t="shared" si="16"/>
      </c>
      <c r="AA27" s="72">
        <f t="shared" si="17"/>
      </c>
      <c r="AB27" s="72">
        <f t="shared" si="18"/>
      </c>
      <c r="AC27" s="72">
        <f t="shared" si="19"/>
      </c>
      <c r="AD27" s="74">
        <f t="shared" si="20"/>
      </c>
      <c r="AE27" s="73">
        <f t="shared" si="61"/>
      </c>
      <c r="AF27" s="40">
        <f t="shared" si="62"/>
      </c>
      <c r="AG27" s="40">
        <f t="shared" si="21"/>
      </c>
      <c r="AH27" s="40">
        <f t="shared" si="22"/>
      </c>
      <c r="AI27" s="270">
        <f t="shared" si="23"/>
      </c>
      <c r="AJ27" s="40">
        <f>IF($B27="","",I27*IF($G$14="Sí",IF(OR($D27="R",$D27="RST"),IF($D$2="Sí",IF($G27="Motor",$D$6*$W27/(BB27^2),$W27/$D$6)*($AV27*$F27+$AW27*SIN(ACOS($F27))),$W27*$F27))+SUMIF(INICIO,$B27,R_RE),0))</f>
      </c>
      <c r="AK27" s="40">
        <f>IF(B27="","",I27*IF($G$14="Sí",IF(OR($D27="R",$D27="RST"),IF($D$2="Sí",IF($G27="Motor",$D$6*$W27/(BB27^2),$W27/$D$6)*($AW27*$F27-$AV27*SIN(ACOS($F27))),-$W27*SIN(ACOS($F27))))+SUMIF(INICIO,$B27,R_IM),0))</f>
      </c>
      <c r="AL27" s="273">
        <f t="shared" si="24"/>
      </c>
      <c r="AM27" s="40">
        <f>IF(B27="","",I27*IF($H$14="Sí",IF(OR($D27="S",$D27="RST"),IF($D$2="Sí",IF($G27="Motor",$D$6*$W27/(BC27^2),$W27/$D$6)*($AX27*$F27+$AY27*SIN(ACOS($F27))),-$W27*$F27/2-SQRT(3)/2*$W27*SIN(ACOS($F27))))+SUMIF(INICIO,$B27,S_RE),0))</f>
      </c>
      <c r="AN27" s="40">
        <f>IF(B27="","",I27*IF($H$14="Sí",IF(OR($D27="S",$D27="RST"),IF($D$2="Sí",IF($G27="Motor",$D$6*$W27/(BC27^2),$W27/$D$6)*($AY27*$F27-$AX27*SIN(ACOS($F27))),-SQRT(3)/2*$W27*$F27+0.5*$W27*SIN(ACOS($F27))))+SUMIF(INICIO,$B27,S_IM),0))</f>
      </c>
      <c r="AO27" s="273">
        <f t="shared" si="25"/>
      </c>
      <c r="AP27" s="40">
        <f>IF(B27="","",I27*IF($I$14="Sí",IF(OR($D27="T",$D27="RST"),IF($D$2="Sí",IF($G27="Motor",$D$6*$W27/(BD27^2),$W27/$D$6)*($AZ27*$F27+$BA27*SIN(ACOS($F27))),-$W27*$F27/2+SQRT(3)/2*$W27*SIN(ACOS($F27))))+SUMIF(INICIO,$B27,T_RE),0))</f>
      </c>
      <c r="AQ27" s="272">
        <f>IF(B27="","",I27*IF($I$14="Sí",IF(OR($D27="T",$D27="RST"),IF($D$2="Sí",IF($G27="Motor",$D$6*$W27/(BD27^2),$W27/$D$6)*($BA27*$F27-$AZ27*SIN(ACOS($F27))),SQRT(3)/2*$W27*$F27+0.5*$W27*SIN(ACOS($F27))))+SUMIF(INICIO,$B27,T_IM),0))</f>
      </c>
      <c r="AR27" s="40">
        <f t="shared" si="26"/>
      </c>
      <c r="AS27" s="40">
        <f t="shared" si="27"/>
      </c>
      <c r="AT27" s="40">
        <f t="shared" si="28"/>
      </c>
      <c r="AU27" s="40">
        <f t="shared" si="29"/>
      </c>
      <c r="AV27" s="73">
        <f t="shared" si="63"/>
      </c>
      <c r="AW27" s="73">
        <f t="shared" si="64"/>
      </c>
      <c r="AX27" s="73">
        <f t="shared" si="65"/>
      </c>
      <c r="AY27" s="73">
        <f t="shared" si="66"/>
      </c>
      <c r="AZ27" s="73">
        <f t="shared" si="67"/>
      </c>
      <c r="BA27" s="73">
        <f t="shared" si="68"/>
      </c>
      <c r="BB27" s="73">
        <f t="shared" si="69"/>
      </c>
      <c r="BC27" s="73">
        <f t="shared" si="70"/>
      </c>
      <c r="BD27" s="73">
        <f t="shared" si="71"/>
      </c>
      <c r="BE27" s="73">
        <f t="shared" si="30"/>
      </c>
      <c r="BF27" s="73">
        <f t="shared" si="31"/>
      </c>
      <c r="BG27" s="73">
        <f t="shared" si="32"/>
      </c>
      <c r="BH27" s="73">
        <f t="shared" si="33"/>
      </c>
      <c r="BI27" s="73">
        <f t="shared" si="79"/>
      </c>
      <c r="BJ27" s="73">
        <f t="shared" si="80"/>
      </c>
      <c r="BK27" s="40">
        <f t="shared" si="72"/>
      </c>
      <c r="BL27" s="40">
        <f t="shared" si="73"/>
      </c>
      <c r="BM27" s="40">
        <f t="shared" si="74"/>
      </c>
      <c r="BN27" s="40">
        <f t="shared" si="34"/>
      </c>
      <c r="BO27" s="40">
        <f t="shared" si="5"/>
      </c>
      <c r="BP27" s="40">
        <f t="shared" si="35"/>
      </c>
      <c r="BQ27" s="40">
        <f t="shared" si="36"/>
      </c>
      <c r="BR27" s="40">
        <f t="shared" si="37"/>
      </c>
      <c r="BS27" s="40">
        <f t="shared" si="75"/>
      </c>
      <c r="BT27" s="40">
        <f t="shared" si="38"/>
      </c>
      <c r="BU27" s="40">
        <f t="shared" si="39"/>
      </c>
      <c r="BV27" s="75">
        <f t="shared" si="40"/>
      </c>
      <c r="BW27" s="75">
        <f t="shared" si="41"/>
      </c>
      <c r="BX27" s="40">
        <f t="shared" si="6"/>
      </c>
      <c r="BY27" s="40">
        <f t="shared" si="42"/>
      </c>
      <c r="BZ27" s="61"/>
      <c r="CA27" s="73">
        <f t="shared" si="43"/>
      </c>
      <c r="CB27"/>
      <c r="CC27" s="73">
        <f t="shared" si="44"/>
      </c>
      <c r="CD27" s="73">
        <f t="shared" si="45"/>
      </c>
      <c r="CE27" s="73">
        <f t="shared" si="46"/>
      </c>
      <c r="CF27" s="73">
        <f t="shared" si="47"/>
      </c>
      <c r="CG27" s="73">
        <f t="shared" si="48"/>
      </c>
      <c r="CH27" s="73">
        <f t="shared" si="49"/>
      </c>
      <c r="CI27" s="73">
        <f t="shared" si="50"/>
      </c>
      <c r="CJ27" s="76">
        <f t="shared" si="51"/>
      </c>
      <c r="CK27" s="76">
        <f t="shared" si="76"/>
      </c>
      <c r="CL27" s="76">
        <f t="shared" si="77"/>
      </c>
      <c r="CM27" s="76">
        <f t="shared" si="78"/>
      </c>
      <c r="CN27" s="40">
        <f t="shared" si="7"/>
      </c>
      <c r="CO27" s="40">
        <f t="shared" si="52"/>
      </c>
      <c r="CP27" s="40">
        <f t="shared" si="53"/>
      </c>
      <c r="CQ27" s="40">
        <f t="shared" si="54"/>
      </c>
      <c r="CR27" s="40">
        <f>IF($B27="","",I27*IF($G$14="Sí",IF(OR($D27="R",$D27="RST"),$W27)+SUMIF(INICIO,$B27,I_tramoR),0))</f>
      </c>
      <c r="CS27" s="40">
        <f t="shared" si="81"/>
      </c>
      <c r="CT27" s="40">
        <f t="shared" si="55"/>
      </c>
      <c r="CU27" s="40">
        <f t="shared" si="56"/>
      </c>
      <c r="CV27" s="40">
        <f t="shared" si="57"/>
      </c>
      <c r="CW27" s="40">
        <f t="shared" si="58"/>
      </c>
      <c r="CX27" s="40">
        <f t="shared" si="82"/>
      </c>
      <c r="CY27" s="40">
        <f t="shared" si="83"/>
      </c>
      <c r="CZ27" s="40">
        <f t="shared" si="59"/>
      </c>
      <c r="DA27" s="40">
        <f t="shared" si="60"/>
      </c>
    </row>
    <row r="28" spans="1:105" ht="12.75">
      <c r="A28" s="61"/>
      <c r="B28" s="61"/>
      <c r="C28" s="61"/>
      <c r="D28" s="61"/>
      <c r="E28" s="61"/>
      <c r="F28" s="61"/>
      <c r="G28" s="61"/>
      <c r="H28" s="120"/>
      <c r="I28" s="61"/>
      <c r="J28" s="61"/>
      <c r="K28" s="61"/>
      <c r="L28" s="61"/>
      <c r="M28" s="61"/>
      <c r="N28" s="61"/>
      <c r="O28" s="61"/>
      <c r="P28" s="61"/>
      <c r="Q28" s="120"/>
      <c r="R28" s="120"/>
      <c r="S28" s="120"/>
      <c r="T28" s="120"/>
      <c r="U28" s="72">
        <f aca="true" t="shared" si="84" ref="U28:U84">IF(A28="","",1.02*C28/K28*SUMIF(Tipo_cable,J28,Resis_20_C))</f>
      </c>
      <c r="V28" s="72">
        <f t="shared" si="12"/>
      </c>
      <c r="W28" s="73">
        <f t="shared" si="13"/>
      </c>
      <c r="X28" s="72">
        <f t="shared" si="14"/>
      </c>
      <c r="Y28" s="72">
        <f t="shared" si="15"/>
      </c>
      <c r="Z28" s="72">
        <f t="shared" si="16"/>
      </c>
      <c r="AA28" s="72">
        <f t="shared" si="17"/>
      </c>
      <c r="AB28" s="72">
        <f t="shared" si="18"/>
      </c>
      <c r="AC28" s="72">
        <f t="shared" si="19"/>
      </c>
      <c r="AD28" s="74">
        <f t="shared" si="20"/>
      </c>
      <c r="AE28" s="73">
        <f t="shared" si="61"/>
      </c>
      <c r="AF28" s="40">
        <f t="shared" si="62"/>
      </c>
      <c r="AG28" s="40">
        <f t="shared" si="21"/>
      </c>
      <c r="AH28" s="40">
        <f t="shared" si="22"/>
      </c>
      <c r="AI28" s="270">
        <f t="shared" si="23"/>
      </c>
      <c r="AJ28" s="40">
        <f>IF($B28="","",I28*IF($G$14="Sí",IF(OR($D28="R",$D28="RST"),IF($D$2="Sí",IF($G28="Motor",$D$6*$W28/(BB28^2),$W28/$D$6)*($AV28*$F28+$AW28*SIN(ACOS($F28))),$W28*$F28))+SUMIF(INICIO,$B28,R_RE),0))</f>
      </c>
      <c r="AK28" s="40">
        <f>IF(B28="","",I28*IF($G$14="Sí",IF(OR($D28="R",$D28="RST"),IF($D$2="Sí",IF($G28="Motor",$D$6*$W28/(BB28^2),$W28/$D$6)*($AW28*$F28-$AV28*SIN(ACOS($F28))),-$W28*SIN(ACOS($F28))))+SUMIF(INICIO,$B28,R_IM),0))</f>
      </c>
      <c r="AL28" s="273">
        <f t="shared" si="24"/>
      </c>
      <c r="AM28" s="40">
        <f>IF(B28="","",I28*IF($H$14="Sí",IF(OR($D28="S",$D28="RST"),IF($D$2="Sí",IF($G28="Motor",$D$6*$W28/(BC28^2),$W28/$D$6)*($AX28*$F28+$AY28*SIN(ACOS($F28))),-$W28*$F28/2-SQRT(3)/2*$W28*SIN(ACOS($F28))))+SUMIF(INICIO,$B28,S_RE),0))</f>
      </c>
      <c r="AN28" s="40">
        <f>IF(B28="","",I28*IF($H$14="Sí",IF(OR($D28="S",$D28="RST"),IF($D$2="Sí",IF($G28="Motor",$D$6*$W28/(BC28^2),$W28/$D$6)*($AY28*$F28-$AX28*SIN(ACOS($F28))),-SQRT(3)/2*$W28*$F28+0.5*$W28*SIN(ACOS($F28))))+SUMIF(INICIO,$B28,S_IM),0))</f>
      </c>
      <c r="AO28" s="273">
        <f t="shared" si="25"/>
      </c>
      <c r="AP28" s="40">
        <f>IF(B28="","",I28*IF($I$14="Sí",IF(OR($D28="T",$D28="RST"),IF($D$2="Sí",IF($G28="Motor",$D$6*$W28/(BD28^2),$W28/$D$6)*($AZ28*$F28+$BA28*SIN(ACOS($F28))),-$W28*$F28/2+SQRT(3)/2*$W28*SIN(ACOS($F28))))+SUMIF(INICIO,$B28,T_RE),0))</f>
      </c>
      <c r="AQ28" s="272">
        <f>IF(B28="","",I28*IF($I$14="Sí",IF(OR($D28="T",$D28="RST"),IF($D$2="Sí",IF($G28="Motor",$D$6*$W28/(BD28^2),$W28/$D$6)*($BA28*$F28-$AZ28*SIN(ACOS($F28))),SQRT(3)/2*$W28*$F28+0.5*$W28*SIN(ACOS($F28))))+SUMIF(INICIO,$B28,T_IM),0))</f>
      </c>
      <c r="AR28" s="40">
        <f t="shared" si="26"/>
      </c>
      <c r="AS28" s="40">
        <f t="shared" si="27"/>
      </c>
      <c r="AT28" s="40">
        <f t="shared" si="28"/>
      </c>
      <c r="AU28" s="40">
        <f t="shared" si="29"/>
      </c>
      <c r="AV28" s="73">
        <f t="shared" si="63"/>
      </c>
      <c r="AW28" s="73">
        <f t="shared" si="64"/>
      </c>
      <c r="AX28" s="73">
        <f t="shared" si="65"/>
      </c>
      <c r="AY28" s="73">
        <f t="shared" si="66"/>
      </c>
      <c r="AZ28" s="73">
        <f t="shared" si="67"/>
      </c>
      <c r="BA28" s="73">
        <f t="shared" si="68"/>
      </c>
      <c r="BB28" s="73">
        <f t="shared" si="69"/>
      </c>
      <c r="BC28" s="73">
        <f t="shared" si="70"/>
      </c>
      <c r="BD28" s="73">
        <f t="shared" si="71"/>
      </c>
      <c r="BE28" s="73">
        <f t="shared" si="30"/>
      </c>
      <c r="BF28" s="73">
        <f t="shared" si="31"/>
      </c>
      <c r="BG28" s="73">
        <f t="shared" si="32"/>
      </c>
      <c r="BH28" s="73">
        <f t="shared" si="33"/>
      </c>
      <c r="BI28" s="73">
        <f t="shared" si="79"/>
      </c>
      <c r="BJ28" s="73">
        <f t="shared" si="80"/>
      </c>
      <c r="BK28" s="40">
        <f t="shared" si="72"/>
      </c>
      <c r="BL28" s="40">
        <f t="shared" si="73"/>
      </c>
      <c r="BM28" s="40">
        <f t="shared" si="74"/>
      </c>
      <c r="BN28" s="40">
        <f t="shared" si="34"/>
      </c>
      <c r="BO28" s="40">
        <f t="shared" si="5"/>
      </c>
      <c r="BP28" s="40">
        <f t="shared" si="35"/>
      </c>
      <c r="BQ28" s="40">
        <f t="shared" si="36"/>
      </c>
      <c r="BR28" s="40">
        <f t="shared" si="37"/>
      </c>
      <c r="BS28" s="40">
        <f t="shared" si="75"/>
      </c>
      <c r="BT28" s="40">
        <f t="shared" si="38"/>
      </c>
      <c r="BU28" s="40">
        <f t="shared" si="39"/>
      </c>
      <c r="BV28" s="75">
        <f t="shared" si="40"/>
      </c>
      <c r="BW28" s="75">
        <f t="shared" si="41"/>
      </c>
      <c r="BX28" s="40">
        <f t="shared" si="6"/>
      </c>
      <c r="BY28" s="40">
        <f t="shared" si="42"/>
      </c>
      <c r="BZ28" s="61"/>
      <c r="CA28" s="73">
        <f t="shared" si="43"/>
      </c>
      <c r="CB28" s="84"/>
      <c r="CC28" s="73">
        <f t="shared" si="44"/>
      </c>
      <c r="CD28" s="73">
        <f aca="true" t="shared" si="85" ref="CD28:CD91">IF(A28="","",IF(OR($D28="R",$D28="RST"),1,0))</f>
      </c>
      <c r="CE28" s="73">
        <f aca="true" t="shared" si="86" ref="CE28:CE91">IF(A28="","",IF(OR($D28="S",$D28="RST"),1,0))</f>
      </c>
      <c r="CF28" s="73">
        <f aca="true" t="shared" si="87" ref="CF28:CF91">IF(A28="","",IF(OR($D28="T",$D28="RST"),1,0))</f>
      </c>
      <c r="CG28" s="73">
        <f t="shared" si="48"/>
      </c>
      <c r="CH28" s="73">
        <f t="shared" si="49"/>
      </c>
      <c r="CI28" s="73">
        <f t="shared" si="50"/>
      </c>
      <c r="CJ28" s="76">
        <f t="shared" si="51"/>
      </c>
      <c r="CK28" s="76">
        <f t="shared" si="76"/>
      </c>
      <c r="CL28" s="76">
        <f t="shared" si="77"/>
      </c>
      <c r="CM28" s="76">
        <f t="shared" si="78"/>
      </c>
      <c r="CN28" s="40">
        <f t="shared" si="7"/>
      </c>
      <c r="CO28" s="40">
        <f aca="true" t="shared" si="88" ref="CO28:CO91">IF(B28="","",AL28-CG28+1.25*CG28)</f>
      </c>
      <c r="CP28" s="40">
        <f aca="true" t="shared" si="89" ref="CP28:CP91">IF(B28="","",AO28-CH28+1.25*CH28)</f>
      </c>
      <c r="CQ28" s="40">
        <f aca="true" t="shared" si="90" ref="CQ28:CQ91">IF(B28="","",AR28-CI28+1.25*CI28)</f>
      </c>
      <c r="CR28" s="40">
        <f aca="true" t="shared" si="91" ref="CR28:CR91">IF($B28="","",I28*IF($G$14="Sí",IF(OR($D28="R",$D28="RST"),$W28)+SUMIF(INICIO,$B28,I_tramoR),0))</f>
      </c>
      <c r="CS28" s="40">
        <f t="shared" si="81"/>
      </c>
      <c r="CT28" s="40">
        <f t="shared" si="55"/>
      </c>
      <c r="CU28" s="40">
        <f t="shared" si="56"/>
      </c>
      <c r="CV28" s="40">
        <f t="shared" si="57"/>
      </c>
      <c r="CW28" s="40">
        <f t="shared" si="58"/>
      </c>
      <c r="CX28" s="40">
        <f t="shared" si="82"/>
      </c>
      <c r="CY28" s="40">
        <f t="shared" si="83"/>
      </c>
      <c r="CZ28" s="40">
        <f aca="true" t="shared" si="92" ref="CZ28:CZ94">IF($B28="","",I28*IF($I$14="Sí",IF(OR($D28="T",$D28="RST"),$W28*F28)+SUMIF(INICIO,$B28,IT_cosfi),0))</f>
      </c>
      <c r="DA28" s="40">
        <f t="shared" si="60"/>
      </c>
    </row>
    <row r="29" spans="1:105" ht="12.75">
      <c r="A29" s="61"/>
      <c r="B29" s="61"/>
      <c r="C29" s="61"/>
      <c r="D29" s="61"/>
      <c r="E29" s="61"/>
      <c r="F29" s="61"/>
      <c r="G29" s="61"/>
      <c r="H29" s="120"/>
      <c r="I29" s="61"/>
      <c r="J29" s="61"/>
      <c r="K29" s="61"/>
      <c r="L29" s="61"/>
      <c r="M29" s="61"/>
      <c r="N29" s="61"/>
      <c r="O29" s="61"/>
      <c r="P29" s="61"/>
      <c r="Q29" s="120"/>
      <c r="R29" s="120"/>
      <c r="S29" s="120"/>
      <c r="T29" s="120"/>
      <c r="U29" s="72">
        <f t="shared" si="84"/>
      </c>
      <c r="V29" s="72">
        <f t="shared" si="12"/>
      </c>
      <c r="W29" s="73">
        <f t="shared" si="13"/>
      </c>
      <c r="X29" s="72">
        <f t="shared" si="14"/>
      </c>
      <c r="Y29" s="72">
        <f t="shared" si="15"/>
      </c>
      <c r="Z29" s="72">
        <f t="shared" si="16"/>
      </c>
      <c r="AA29" s="72">
        <f t="shared" si="17"/>
      </c>
      <c r="AB29" s="72">
        <f t="shared" si="18"/>
      </c>
      <c r="AC29" s="72">
        <f t="shared" si="19"/>
      </c>
      <c r="AD29" s="74">
        <f t="shared" si="20"/>
      </c>
      <c r="AE29" s="73">
        <f t="shared" si="61"/>
      </c>
      <c r="AF29" s="40">
        <f t="shared" si="62"/>
      </c>
      <c r="AG29" s="40">
        <f t="shared" si="21"/>
      </c>
      <c r="AH29" s="40">
        <f t="shared" si="22"/>
      </c>
      <c r="AI29" s="270">
        <f t="shared" si="23"/>
      </c>
      <c r="AJ29" s="40">
        <f>IF($B29="","",I29*IF($G$14="Sí",IF(OR($D29="R",$D29="RST"),IF($D$2="Sí",IF($G29="Motor",$D$6*$W29/(BB29^2),$W29/$D$6)*($AV29*$F29+$AW29*SIN(ACOS($F29))),$W29*$F29))+SUMIF(INICIO,$B29,R_RE),0))</f>
      </c>
      <c r="AK29" s="40">
        <f>IF(B29="","",I29*IF($G$14="Sí",IF(OR($D29="R",$D29="RST"),IF($D$2="Sí",IF($G29="Motor",$D$6*$W29/(BB29^2),$W29/$D$6)*($AW29*$F29-$AV29*SIN(ACOS($F29))),-$W29*SIN(ACOS($F29))))+SUMIF(INICIO,$B29,R_IM),0))</f>
      </c>
      <c r="AL29" s="273">
        <f t="shared" si="24"/>
      </c>
      <c r="AM29" s="40">
        <f>IF(B29="","",I29*IF($H$14="Sí",IF(OR($D29="S",$D29="RST"),IF($D$2="Sí",IF($G29="Motor",$D$6*$W29/(BC29^2),$W29/$D$6)*($AX29*$F29+$AY29*SIN(ACOS($F29))),-$W29*$F29/2-SQRT(3)/2*$W29*SIN(ACOS($F29))))+SUMIF(INICIO,$B29,S_RE),0))</f>
      </c>
      <c r="AN29" s="40">
        <f>IF(B29="","",I29*IF($H$14="Sí",IF(OR($D29="S",$D29="RST"),IF($D$2="Sí",IF($G29="Motor",$D$6*$W29/(BC29^2),$W29/$D$6)*($AY29*$F29-$AX29*SIN(ACOS($F29))),-SQRT(3)/2*$W29*$F29+0.5*$W29*SIN(ACOS($F29))))+SUMIF(INICIO,$B29,S_IM),0))</f>
      </c>
      <c r="AO29" s="273">
        <f t="shared" si="25"/>
      </c>
      <c r="AP29" s="40">
        <f>IF(B29="","",I29*IF($I$14="Sí",IF(OR($D29="T",$D29="RST"),IF($D$2="Sí",IF($G29="Motor",$D$6*$W29/(BD29^2),$W29/$D$6)*($AZ29*$F29+$BA29*SIN(ACOS($F29))),-$W29*$F29/2+SQRT(3)/2*$W29*SIN(ACOS($F29))))+SUMIF(INICIO,$B29,T_RE),0))</f>
      </c>
      <c r="AQ29" s="272">
        <f>IF(B29="","",I29*IF($I$14="Sí",IF(OR($D29="T",$D29="RST"),IF($D$2="Sí",IF($G29="Motor",$D$6*$W29/(BD29^2),$W29/$D$6)*($BA29*$F29-$AZ29*SIN(ACOS($F29))),SQRT(3)/2*$W29*$F29+0.5*$W29*SIN(ACOS($F29))))+SUMIF(INICIO,$B29,T_IM),0))</f>
      </c>
      <c r="AR29" s="40">
        <f t="shared" si="26"/>
      </c>
      <c r="AS29" s="40">
        <f t="shared" si="27"/>
      </c>
      <c r="AT29" s="40">
        <f t="shared" si="28"/>
      </c>
      <c r="AU29" s="40">
        <f t="shared" si="29"/>
      </c>
      <c r="AV29" s="73">
        <f t="shared" si="63"/>
      </c>
      <c r="AW29" s="73">
        <f t="shared" si="64"/>
      </c>
      <c r="AX29" s="73">
        <f t="shared" si="65"/>
      </c>
      <c r="AY29" s="73">
        <f t="shared" si="66"/>
      </c>
      <c r="AZ29" s="73">
        <f t="shared" si="67"/>
      </c>
      <c r="BA29" s="73">
        <f t="shared" si="68"/>
      </c>
      <c r="BB29" s="73">
        <f t="shared" si="69"/>
      </c>
      <c r="BC29" s="73">
        <f t="shared" si="70"/>
      </c>
      <c r="BD29" s="73">
        <f t="shared" si="71"/>
      </c>
      <c r="BE29" s="73">
        <f t="shared" si="30"/>
      </c>
      <c r="BF29" s="73">
        <f t="shared" si="31"/>
      </c>
      <c r="BG29" s="73">
        <f t="shared" si="32"/>
      </c>
      <c r="BH29" s="73">
        <f t="shared" si="33"/>
      </c>
      <c r="BI29" s="73">
        <f t="shared" si="79"/>
      </c>
      <c r="BJ29" s="73">
        <f t="shared" si="80"/>
      </c>
      <c r="BK29" s="40">
        <f t="shared" si="72"/>
      </c>
      <c r="BL29" s="40">
        <f t="shared" si="73"/>
      </c>
      <c r="BM29" s="40">
        <f t="shared" si="74"/>
      </c>
      <c r="BN29" s="40">
        <f t="shared" si="34"/>
      </c>
      <c r="BO29" s="40">
        <f t="shared" si="5"/>
      </c>
      <c r="BP29" s="40">
        <f t="shared" si="35"/>
      </c>
      <c r="BQ29" s="40">
        <f t="shared" si="36"/>
      </c>
      <c r="BR29" s="40">
        <f t="shared" si="37"/>
      </c>
      <c r="BS29" s="40">
        <f t="shared" si="75"/>
      </c>
      <c r="BT29" s="40">
        <f t="shared" si="38"/>
      </c>
      <c r="BU29" s="40">
        <f t="shared" si="39"/>
      </c>
      <c r="BV29" s="75">
        <f t="shared" si="40"/>
      </c>
      <c r="BW29" s="75">
        <f t="shared" si="41"/>
      </c>
      <c r="BX29" s="40">
        <f t="shared" si="6"/>
      </c>
      <c r="BY29" s="40">
        <f t="shared" si="42"/>
      </c>
      <c r="BZ29" s="61"/>
      <c r="CA29" s="73">
        <f t="shared" si="43"/>
      </c>
      <c r="CB29" s="84"/>
      <c r="CC29" s="73">
        <f t="shared" si="44"/>
      </c>
      <c r="CD29" s="73">
        <f t="shared" si="85"/>
      </c>
      <c r="CE29" s="73">
        <f t="shared" si="86"/>
      </c>
      <c r="CF29" s="73">
        <f t="shared" si="87"/>
      </c>
      <c r="CG29" s="73">
        <f t="shared" si="48"/>
      </c>
      <c r="CH29" s="73">
        <f t="shared" si="49"/>
      </c>
      <c r="CI29" s="73">
        <f t="shared" si="50"/>
      </c>
      <c r="CJ29" s="76">
        <f t="shared" si="51"/>
      </c>
      <c r="CK29" s="76">
        <f t="shared" si="76"/>
      </c>
      <c r="CL29" s="76">
        <f t="shared" si="77"/>
      </c>
      <c r="CM29" s="76">
        <f t="shared" si="78"/>
      </c>
      <c r="CN29" s="40">
        <f t="shared" si="7"/>
      </c>
      <c r="CO29" s="40">
        <f t="shared" si="88"/>
      </c>
      <c r="CP29" s="40">
        <f t="shared" si="89"/>
      </c>
      <c r="CQ29" s="40">
        <f t="shared" si="90"/>
      </c>
      <c r="CR29" s="40">
        <f t="shared" si="91"/>
      </c>
      <c r="CS29" s="40">
        <f t="shared" si="81"/>
      </c>
      <c r="CT29" s="40">
        <f t="shared" si="55"/>
      </c>
      <c r="CU29" s="40">
        <f aca="true" t="shared" si="93" ref="CU29:CU92">IF(B29="","",CR29-CG29+1.25*CG29)</f>
      </c>
      <c r="CV29" s="40">
        <f aca="true" t="shared" si="94" ref="CV29:CV92">IF(B29="","",CS29-CH29+1.25*CH29)</f>
      </c>
      <c r="CW29" s="40">
        <f aca="true" t="shared" si="95" ref="CW29:CW92">IF(B29="","",CT29-CI29+1.25*CI29)</f>
      </c>
      <c r="CX29" s="40">
        <f t="shared" si="82"/>
      </c>
      <c r="CY29" s="40">
        <f t="shared" si="83"/>
      </c>
      <c r="CZ29" s="40">
        <f t="shared" si="92"/>
      </c>
      <c r="DA29" s="40">
        <f t="shared" si="60"/>
      </c>
    </row>
    <row r="30" spans="1:105" ht="12.75">
      <c r="A30" s="61"/>
      <c r="B30" s="61"/>
      <c r="C30" s="61"/>
      <c r="D30" s="61"/>
      <c r="E30" s="61"/>
      <c r="F30" s="61"/>
      <c r="G30" s="61"/>
      <c r="H30" s="120"/>
      <c r="I30" s="61"/>
      <c r="J30" s="61"/>
      <c r="K30" s="61"/>
      <c r="L30" s="61"/>
      <c r="M30" s="61"/>
      <c r="N30" s="61"/>
      <c r="O30" s="61"/>
      <c r="P30" s="61"/>
      <c r="Q30" s="120"/>
      <c r="R30" s="120"/>
      <c r="S30" s="120"/>
      <c r="T30" s="120"/>
      <c r="U30" s="72">
        <f t="shared" si="84"/>
      </c>
      <c r="V30" s="72">
        <f t="shared" si="12"/>
      </c>
      <c r="W30" s="73">
        <f t="shared" si="13"/>
      </c>
      <c r="X30" s="72">
        <f t="shared" si="14"/>
      </c>
      <c r="Y30" s="72">
        <f t="shared" si="15"/>
      </c>
      <c r="Z30" s="72">
        <f t="shared" si="16"/>
      </c>
      <c r="AA30" s="72">
        <f t="shared" si="17"/>
      </c>
      <c r="AB30" s="72">
        <f t="shared" si="18"/>
      </c>
      <c r="AC30" s="72">
        <f t="shared" si="19"/>
      </c>
      <c r="AD30" s="74">
        <f t="shared" si="20"/>
      </c>
      <c r="AE30" s="73">
        <f t="shared" si="61"/>
      </c>
      <c r="AF30" s="40">
        <f t="shared" si="62"/>
      </c>
      <c r="AG30" s="40">
        <f t="shared" si="21"/>
      </c>
      <c r="AH30" s="40">
        <f t="shared" si="22"/>
      </c>
      <c r="AI30" s="270">
        <f t="shared" si="23"/>
      </c>
      <c r="AJ30" s="40">
        <f>IF($B30="","",I30*IF($G$14="Sí",IF(OR($D30="R",$D30="RST"),IF($D$2="Sí",IF($G30="Motor",$D$6*$W30/(BB30^2),$W30/$D$6)*($AV30*$F30+$AW30*SIN(ACOS($F30))),$W30*$F30))+SUMIF(INICIO,$B30,R_RE),0))</f>
      </c>
      <c r="AK30" s="40">
        <f>IF(B30="","",I30*IF($G$14="Sí",IF(OR($D30="R",$D30="RST"),IF($D$2="Sí",IF($G30="Motor",$D$6*$W30/(BB30^2),$W30/$D$6)*($AW30*$F30-$AV30*SIN(ACOS($F30))),-$W30*SIN(ACOS($F30))))+SUMIF(INICIO,$B30,R_IM),0))</f>
      </c>
      <c r="AL30" s="273">
        <f t="shared" si="24"/>
      </c>
      <c r="AM30" s="40">
        <f>IF(B30="","",I30*IF($H$14="Sí",IF(OR($D30="S",$D30="RST"),IF($D$2="Sí",IF($G30="Motor",$D$6*$W30/(BC30^2),$W30/$D$6)*($AX30*$F30+$AY30*SIN(ACOS($F30))),-$W30*$F30/2-SQRT(3)/2*$W30*SIN(ACOS($F30))))+SUMIF(INICIO,$B30,S_RE),0))</f>
      </c>
      <c r="AN30" s="40">
        <f>IF(B30="","",I30*IF($H$14="Sí",IF(OR($D30="S",$D30="RST"),IF($D$2="Sí",IF($G30="Motor",$D$6*$W30/(BC30^2),$W30/$D$6)*($AY30*$F30-$AX30*SIN(ACOS($F30))),-SQRT(3)/2*$W30*$F30+0.5*$W30*SIN(ACOS($F30))))+SUMIF(INICIO,$B30,S_IM),0))</f>
      </c>
      <c r="AO30" s="273">
        <f t="shared" si="25"/>
      </c>
      <c r="AP30" s="40">
        <f>IF(B30="","",I30*IF($I$14="Sí",IF(OR($D30="T",$D30="RST"),IF($D$2="Sí",IF($G30="Motor",$D$6*$W30/(BD30^2),$W30/$D$6)*($AZ30*$F30+$BA30*SIN(ACOS($F30))),-$W30*$F30/2+SQRT(3)/2*$W30*SIN(ACOS($F30))))+SUMIF(INICIO,$B30,T_RE),0))</f>
      </c>
      <c r="AQ30" s="272">
        <f>IF(B30="","",I30*IF($I$14="Sí",IF(OR($D30="T",$D30="RST"),IF($D$2="Sí",IF($G30="Motor",$D$6*$W30/(BD30^2),$W30/$D$6)*($BA30*$F30-$AZ30*SIN(ACOS($F30))),SQRT(3)/2*$W30*$F30+0.5*$W30*SIN(ACOS($F30))))+SUMIF(INICIO,$B30,T_IM),0))</f>
      </c>
      <c r="AR30" s="40">
        <f t="shared" si="26"/>
      </c>
      <c r="AS30" s="40">
        <f t="shared" si="27"/>
      </c>
      <c r="AT30" s="40">
        <f t="shared" si="28"/>
      </c>
      <c r="AU30" s="40">
        <f t="shared" si="29"/>
      </c>
      <c r="AV30" s="73">
        <f t="shared" si="63"/>
      </c>
      <c r="AW30" s="73">
        <f t="shared" si="64"/>
      </c>
      <c r="AX30" s="73">
        <f t="shared" si="65"/>
      </c>
      <c r="AY30" s="73">
        <f t="shared" si="66"/>
      </c>
      <c r="AZ30" s="73">
        <f t="shared" si="67"/>
      </c>
      <c r="BA30" s="73">
        <f t="shared" si="68"/>
      </c>
      <c r="BB30" s="73">
        <f t="shared" si="69"/>
      </c>
      <c r="BC30" s="73">
        <f t="shared" si="70"/>
      </c>
      <c r="BD30" s="73">
        <f t="shared" si="71"/>
      </c>
      <c r="BE30" s="73">
        <f t="shared" si="30"/>
      </c>
      <c r="BF30" s="73">
        <f t="shared" si="31"/>
      </c>
      <c r="BG30" s="73">
        <f t="shared" si="32"/>
      </c>
      <c r="BH30" s="73">
        <f t="shared" si="33"/>
      </c>
      <c r="BI30" s="73">
        <f t="shared" si="79"/>
      </c>
      <c r="BJ30" s="73">
        <f t="shared" si="80"/>
      </c>
      <c r="BK30" s="40">
        <f t="shared" si="72"/>
      </c>
      <c r="BL30" s="40">
        <f t="shared" si="73"/>
      </c>
      <c r="BM30" s="40">
        <f t="shared" si="74"/>
      </c>
      <c r="BN30" s="40">
        <f t="shared" si="34"/>
      </c>
      <c r="BO30" s="40">
        <f t="shared" si="5"/>
      </c>
      <c r="BP30" s="40">
        <f t="shared" si="35"/>
      </c>
      <c r="BQ30" s="40">
        <f t="shared" si="36"/>
      </c>
      <c r="BR30" s="40">
        <f t="shared" si="37"/>
      </c>
      <c r="BS30" s="40">
        <f t="shared" si="75"/>
      </c>
      <c r="BT30" s="40">
        <f t="shared" si="38"/>
      </c>
      <c r="BU30" s="40">
        <f t="shared" si="39"/>
      </c>
      <c r="BV30" s="75">
        <f t="shared" si="40"/>
      </c>
      <c r="BW30" s="75">
        <f t="shared" si="41"/>
      </c>
      <c r="BX30" s="40">
        <f t="shared" si="6"/>
      </c>
      <c r="BY30" s="40">
        <f t="shared" si="42"/>
      </c>
      <c r="BZ30" s="61"/>
      <c r="CA30" s="73">
        <f t="shared" si="43"/>
      </c>
      <c r="CB30" s="84"/>
      <c r="CC30" s="73">
        <f t="shared" si="44"/>
      </c>
      <c r="CD30" s="73">
        <f t="shared" si="85"/>
      </c>
      <c r="CE30" s="73">
        <f t="shared" si="86"/>
      </c>
      <c r="CF30" s="73">
        <f t="shared" si="87"/>
      </c>
      <c r="CG30" s="73">
        <f t="shared" si="48"/>
      </c>
      <c r="CH30" s="73">
        <f t="shared" si="49"/>
      </c>
      <c r="CI30" s="73">
        <f t="shared" si="50"/>
      </c>
      <c r="CJ30" s="76">
        <f t="shared" si="51"/>
      </c>
      <c r="CK30" s="76">
        <f t="shared" si="76"/>
      </c>
      <c r="CL30" s="76">
        <f t="shared" si="77"/>
      </c>
      <c r="CM30" s="76">
        <f t="shared" si="78"/>
      </c>
      <c r="CN30" s="40">
        <f t="shared" si="7"/>
      </c>
      <c r="CO30" s="40">
        <f t="shared" si="88"/>
      </c>
      <c r="CP30" s="40">
        <f t="shared" si="89"/>
      </c>
      <c r="CQ30" s="40">
        <f t="shared" si="90"/>
      </c>
      <c r="CR30" s="40">
        <f t="shared" si="91"/>
      </c>
      <c r="CS30" s="40">
        <f t="shared" si="81"/>
      </c>
      <c r="CT30" s="40">
        <f t="shared" si="55"/>
      </c>
      <c r="CU30" s="40">
        <f t="shared" si="93"/>
      </c>
      <c r="CV30" s="40">
        <f t="shared" si="94"/>
      </c>
      <c r="CW30" s="40">
        <f t="shared" si="95"/>
      </c>
      <c r="CX30" s="40">
        <f t="shared" si="82"/>
      </c>
      <c r="CY30" s="40">
        <f t="shared" si="83"/>
      </c>
      <c r="CZ30" s="40">
        <f t="shared" si="92"/>
      </c>
      <c r="DA30" s="40">
        <f t="shared" si="60"/>
      </c>
    </row>
    <row r="31" spans="1:105" ht="12.75">
      <c r="A31" s="61"/>
      <c r="B31" s="61"/>
      <c r="C31" s="61"/>
      <c r="D31" s="61"/>
      <c r="E31" s="61"/>
      <c r="F31" s="61"/>
      <c r="G31" s="61"/>
      <c r="H31" s="120"/>
      <c r="I31" s="61"/>
      <c r="J31" s="61"/>
      <c r="K31" s="61"/>
      <c r="L31" s="61"/>
      <c r="M31" s="61"/>
      <c r="N31" s="61"/>
      <c r="O31" s="61"/>
      <c r="P31" s="61"/>
      <c r="Q31" s="120"/>
      <c r="R31" s="120"/>
      <c r="S31" s="120"/>
      <c r="T31" s="120"/>
      <c r="U31" s="72">
        <f t="shared" si="84"/>
      </c>
      <c r="V31" s="72">
        <f t="shared" si="12"/>
      </c>
      <c r="W31" s="73">
        <f t="shared" si="13"/>
      </c>
      <c r="X31" s="72">
        <f t="shared" si="14"/>
      </c>
      <c r="Y31" s="72">
        <f t="shared" si="15"/>
      </c>
      <c r="Z31" s="72">
        <f t="shared" si="16"/>
      </c>
      <c r="AA31" s="72">
        <f t="shared" si="17"/>
      </c>
      <c r="AB31" s="72">
        <f t="shared" si="18"/>
      </c>
      <c r="AC31" s="72">
        <f t="shared" si="19"/>
      </c>
      <c r="AD31" s="74">
        <f t="shared" si="20"/>
      </c>
      <c r="AE31" s="73">
        <f t="shared" si="61"/>
      </c>
      <c r="AF31" s="40">
        <f t="shared" si="62"/>
      </c>
      <c r="AG31" s="40">
        <f t="shared" si="21"/>
      </c>
      <c r="AH31" s="40">
        <f t="shared" si="22"/>
      </c>
      <c r="AI31" s="270">
        <f t="shared" si="23"/>
      </c>
      <c r="AJ31" s="40">
        <f>IF($B31="","",I31*IF($G$14="Sí",IF(OR($D31="R",$D31="RST"),IF($D$2="Sí",IF($G31="Motor",$D$6*$W31/(BB31^2),$W31/$D$6)*($AV31*$F31+$AW31*SIN(ACOS($F31))),$W31*$F31))+SUMIF(INICIO,$B31,R_RE),0))</f>
      </c>
      <c r="AK31" s="40">
        <f>IF(B31="","",I31*IF($G$14="Sí",IF(OR($D31="R",$D31="RST"),IF($D$2="Sí",IF($G31="Motor",$D$6*$W31/(BB31^2),$W31/$D$6)*($AW31*$F31-$AV31*SIN(ACOS($F31))),-$W31*SIN(ACOS($F31))))+SUMIF(INICIO,$B31,R_IM),0))</f>
      </c>
      <c r="AL31" s="273">
        <f t="shared" si="24"/>
      </c>
      <c r="AM31" s="40">
        <f>IF(B31="","",I31*IF($H$14="Sí",IF(OR($D31="S",$D31="RST"),IF($D$2="Sí",IF($G31="Motor",$D$6*$W31/(BC31^2),$W31/$D$6)*($AX31*$F31+$AY31*SIN(ACOS($F31))),-$W31*$F31/2-SQRT(3)/2*$W31*SIN(ACOS($F31))))+SUMIF(INICIO,$B31,S_RE),0))</f>
      </c>
      <c r="AN31" s="40">
        <f>IF(B31="","",I31*IF($H$14="Sí",IF(OR($D31="S",$D31="RST"),IF($D$2="Sí",IF($G31="Motor",$D$6*$W31/(BC31^2),$W31/$D$6)*($AY31*$F31-$AX31*SIN(ACOS($F31))),-SQRT(3)/2*$W31*$F31+0.5*$W31*SIN(ACOS($F31))))+SUMIF(INICIO,$B31,S_IM),0))</f>
      </c>
      <c r="AO31" s="273">
        <f t="shared" si="25"/>
      </c>
      <c r="AP31" s="40">
        <f>IF(B31="","",I31*IF($I$14="Sí",IF(OR($D31="T",$D31="RST"),IF($D$2="Sí",IF($G31="Motor",$D$6*$W31/(BD31^2),$W31/$D$6)*($AZ31*$F31+$BA31*SIN(ACOS($F31))),-$W31*$F31/2+SQRT(3)/2*$W31*SIN(ACOS($F31))))+SUMIF(INICIO,$B31,T_RE),0))</f>
      </c>
      <c r="AQ31" s="272">
        <f>IF(B31="","",I31*IF($I$14="Sí",IF(OR($D31="T",$D31="RST"),IF($D$2="Sí",IF($G31="Motor",$D$6*$W31/(BD31^2),$W31/$D$6)*($BA31*$F31-$AZ31*SIN(ACOS($F31))),SQRT(3)/2*$W31*$F31+0.5*$W31*SIN(ACOS($F31))))+SUMIF(INICIO,$B31,T_IM),0))</f>
      </c>
      <c r="AR31" s="40">
        <f t="shared" si="26"/>
      </c>
      <c r="AS31" s="40">
        <f t="shared" si="27"/>
      </c>
      <c r="AT31" s="40">
        <f t="shared" si="28"/>
      </c>
      <c r="AU31" s="40">
        <f t="shared" si="29"/>
      </c>
      <c r="AV31" s="73">
        <f t="shared" si="63"/>
      </c>
      <c r="AW31" s="73">
        <f t="shared" si="64"/>
      </c>
      <c r="AX31" s="73">
        <f t="shared" si="65"/>
      </c>
      <c r="AY31" s="73">
        <f t="shared" si="66"/>
      </c>
      <c r="AZ31" s="73">
        <f t="shared" si="67"/>
      </c>
      <c r="BA31" s="73">
        <f t="shared" si="68"/>
      </c>
      <c r="BB31" s="73">
        <f t="shared" si="69"/>
      </c>
      <c r="BC31" s="73">
        <f t="shared" si="70"/>
      </c>
      <c r="BD31" s="73">
        <f t="shared" si="71"/>
      </c>
      <c r="BE31" s="73">
        <f t="shared" si="30"/>
      </c>
      <c r="BF31" s="73">
        <f t="shared" si="31"/>
      </c>
      <c r="BG31" s="73">
        <f t="shared" si="32"/>
      </c>
      <c r="BH31" s="73">
        <f t="shared" si="33"/>
      </c>
      <c r="BI31" s="73">
        <f t="shared" si="79"/>
      </c>
      <c r="BJ31" s="73">
        <f t="shared" si="80"/>
      </c>
      <c r="BK31" s="40">
        <f t="shared" si="72"/>
      </c>
      <c r="BL31" s="40">
        <f t="shared" si="73"/>
      </c>
      <c r="BM31" s="40">
        <f t="shared" si="74"/>
      </c>
      <c r="BN31" s="40">
        <f t="shared" si="34"/>
      </c>
      <c r="BO31" s="40">
        <f t="shared" si="5"/>
      </c>
      <c r="BP31" s="40">
        <f t="shared" si="35"/>
      </c>
      <c r="BQ31" s="40">
        <f t="shared" si="36"/>
      </c>
      <c r="BR31" s="40">
        <f t="shared" si="37"/>
      </c>
      <c r="BS31" s="40">
        <f t="shared" si="75"/>
      </c>
      <c r="BT31" s="40">
        <f t="shared" si="38"/>
      </c>
      <c r="BU31" s="40">
        <f t="shared" si="39"/>
      </c>
      <c r="BV31" s="75">
        <f t="shared" si="40"/>
      </c>
      <c r="BW31" s="75">
        <f t="shared" si="41"/>
      </c>
      <c r="BX31" s="40">
        <f t="shared" si="6"/>
      </c>
      <c r="BY31" s="40">
        <f t="shared" si="42"/>
      </c>
      <c r="BZ31" s="61"/>
      <c r="CA31" s="73">
        <f t="shared" si="43"/>
      </c>
      <c r="CB31" s="84"/>
      <c r="CC31" s="73">
        <f t="shared" si="44"/>
      </c>
      <c r="CD31" s="73">
        <f t="shared" si="85"/>
      </c>
      <c r="CE31" s="73">
        <f t="shared" si="86"/>
      </c>
      <c r="CF31" s="73">
        <f t="shared" si="87"/>
      </c>
      <c r="CG31" s="73">
        <f t="shared" si="48"/>
      </c>
      <c r="CH31" s="73">
        <f t="shared" si="49"/>
      </c>
      <c r="CI31" s="73">
        <f t="shared" si="50"/>
      </c>
      <c r="CJ31" s="76">
        <f t="shared" si="51"/>
      </c>
      <c r="CK31" s="76">
        <f t="shared" si="76"/>
      </c>
      <c r="CL31" s="76">
        <f t="shared" si="77"/>
      </c>
      <c r="CM31" s="76">
        <f t="shared" si="78"/>
      </c>
      <c r="CN31" s="40">
        <f t="shared" si="7"/>
      </c>
      <c r="CO31" s="40">
        <f t="shared" si="88"/>
      </c>
      <c r="CP31" s="40">
        <f t="shared" si="89"/>
      </c>
      <c r="CQ31" s="40">
        <f t="shared" si="90"/>
      </c>
      <c r="CR31" s="40">
        <f t="shared" si="91"/>
      </c>
      <c r="CS31" s="40">
        <f t="shared" si="81"/>
      </c>
      <c r="CT31" s="40">
        <f t="shared" si="55"/>
      </c>
      <c r="CU31" s="40">
        <f t="shared" si="93"/>
      </c>
      <c r="CV31" s="40">
        <f t="shared" si="94"/>
      </c>
      <c r="CW31" s="40">
        <f t="shared" si="95"/>
      </c>
      <c r="CX31" s="40">
        <f t="shared" si="82"/>
      </c>
      <c r="CY31" s="40">
        <f t="shared" si="83"/>
      </c>
      <c r="CZ31" s="40">
        <f t="shared" si="92"/>
      </c>
      <c r="DA31" s="40">
        <f t="shared" si="60"/>
      </c>
    </row>
    <row r="32" spans="1:105" ht="12.75">
      <c r="A32" s="61"/>
      <c r="B32" s="61"/>
      <c r="C32" s="61"/>
      <c r="D32" s="61"/>
      <c r="E32" s="61"/>
      <c r="F32" s="61"/>
      <c r="G32" s="61"/>
      <c r="H32" s="120"/>
      <c r="I32" s="61"/>
      <c r="J32" s="61"/>
      <c r="K32" s="61"/>
      <c r="L32" s="61"/>
      <c r="M32" s="61"/>
      <c r="N32" s="61"/>
      <c r="O32" s="61"/>
      <c r="P32" s="61"/>
      <c r="Q32" s="120"/>
      <c r="R32" s="120"/>
      <c r="S32" s="120"/>
      <c r="T32" s="120"/>
      <c r="U32" s="72">
        <f t="shared" si="84"/>
      </c>
      <c r="V32" s="72">
        <f t="shared" si="12"/>
      </c>
      <c r="W32" s="73">
        <f t="shared" si="13"/>
      </c>
      <c r="X32" s="72">
        <f t="shared" si="14"/>
      </c>
      <c r="Y32" s="72">
        <f t="shared" si="15"/>
      </c>
      <c r="Z32" s="72">
        <f t="shared" si="16"/>
      </c>
      <c r="AA32" s="72">
        <f t="shared" si="17"/>
      </c>
      <c r="AB32" s="72">
        <f t="shared" si="18"/>
      </c>
      <c r="AC32" s="72">
        <f t="shared" si="19"/>
      </c>
      <c r="AD32" s="74">
        <f t="shared" si="20"/>
      </c>
      <c r="AE32" s="73">
        <f t="shared" si="61"/>
      </c>
      <c r="AF32" s="40">
        <f t="shared" si="62"/>
      </c>
      <c r="AG32" s="40">
        <f t="shared" si="21"/>
      </c>
      <c r="AH32" s="40">
        <f t="shared" si="22"/>
      </c>
      <c r="AI32" s="270">
        <f t="shared" si="23"/>
      </c>
      <c r="AJ32" s="40">
        <f>IF($B32="","",I32*IF($G$14="Sí",IF(OR($D32="R",$D32="RST"),IF($D$2="Sí",IF($G32="Motor",$D$6*$W32/(BB32^2),$W32/$D$6)*($AV32*$F32+$AW32*SIN(ACOS($F32))),$W32*$F32))+SUMIF(INICIO,$B32,R_RE),0))</f>
      </c>
      <c r="AK32" s="40">
        <f>IF(B32="","",I32*IF($G$14="Sí",IF(OR($D32="R",$D32="RST"),IF($D$2="Sí",IF($G32="Motor",$D$6*$W32/(BB32^2),$W32/$D$6)*($AW32*$F32-$AV32*SIN(ACOS($F32))),-$W32*SIN(ACOS($F32))))+SUMIF(INICIO,$B32,R_IM),0))</f>
      </c>
      <c r="AL32" s="273">
        <f t="shared" si="24"/>
      </c>
      <c r="AM32" s="40">
        <f>IF(B32="","",I32*IF($H$14="Sí",IF(OR($D32="S",$D32="RST"),IF($D$2="Sí",IF($G32="Motor",$D$6*$W32/(BC32^2),$W32/$D$6)*($AX32*$F32+$AY32*SIN(ACOS($F32))),-$W32*$F32/2-SQRT(3)/2*$W32*SIN(ACOS($F32))))+SUMIF(INICIO,$B32,S_RE),0))</f>
      </c>
      <c r="AN32" s="40">
        <f>IF(B32="","",I32*IF($H$14="Sí",IF(OR($D32="S",$D32="RST"),IF($D$2="Sí",IF($G32="Motor",$D$6*$W32/(BC32^2),$W32/$D$6)*($AY32*$F32-$AX32*SIN(ACOS($F32))),-SQRT(3)/2*$W32*$F32+0.5*$W32*SIN(ACOS($F32))))+SUMIF(INICIO,$B32,S_IM),0))</f>
      </c>
      <c r="AO32" s="273">
        <f t="shared" si="25"/>
      </c>
      <c r="AP32" s="40">
        <f>IF(B32="","",I32*IF($I$14="Sí",IF(OR($D32="T",$D32="RST"),IF($D$2="Sí",IF($G32="Motor",$D$6*$W32/(BD32^2),$W32/$D$6)*($AZ32*$F32+$BA32*SIN(ACOS($F32))),-$W32*$F32/2+SQRT(3)/2*$W32*SIN(ACOS($F32))))+SUMIF(INICIO,$B32,T_RE),0))</f>
      </c>
      <c r="AQ32" s="272">
        <f>IF(B32="","",I32*IF($I$14="Sí",IF(OR($D32="T",$D32="RST"),IF($D$2="Sí",IF($G32="Motor",$D$6*$W32/(BD32^2),$W32/$D$6)*($BA32*$F32-$AZ32*SIN(ACOS($F32))),SQRT(3)/2*$W32*$F32+0.5*$W32*SIN(ACOS($F32))))+SUMIF(INICIO,$B32,T_IM),0))</f>
      </c>
      <c r="AR32" s="40">
        <f t="shared" si="26"/>
      </c>
      <c r="AS32" s="40">
        <f t="shared" si="27"/>
      </c>
      <c r="AT32" s="40">
        <f t="shared" si="28"/>
      </c>
      <c r="AU32" s="40">
        <f t="shared" si="29"/>
      </c>
      <c r="AV32" s="73">
        <f t="shared" si="63"/>
      </c>
      <c r="AW32" s="73">
        <f t="shared" si="64"/>
      </c>
      <c r="AX32" s="73">
        <f t="shared" si="65"/>
      </c>
      <c r="AY32" s="73">
        <f t="shared" si="66"/>
      </c>
      <c r="AZ32" s="73">
        <f t="shared" si="67"/>
      </c>
      <c r="BA32" s="73">
        <f t="shared" si="68"/>
      </c>
      <c r="BB32" s="73">
        <f t="shared" si="69"/>
      </c>
      <c r="BC32" s="73">
        <f t="shared" si="70"/>
      </c>
      <c r="BD32" s="73">
        <f t="shared" si="71"/>
      </c>
      <c r="BE32" s="73">
        <f t="shared" si="30"/>
      </c>
      <c r="BF32" s="73">
        <f t="shared" si="31"/>
      </c>
      <c r="BG32" s="73">
        <f t="shared" si="32"/>
      </c>
      <c r="BH32" s="73">
        <f t="shared" si="33"/>
      </c>
      <c r="BI32" s="73">
        <f t="shared" si="79"/>
      </c>
      <c r="BJ32" s="73">
        <f t="shared" si="80"/>
      </c>
      <c r="BK32" s="40">
        <f t="shared" si="72"/>
      </c>
      <c r="BL32" s="40">
        <f t="shared" si="73"/>
      </c>
      <c r="BM32" s="40">
        <f t="shared" si="74"/>
      </c>
      <c r="BN32" s="40">
        <f t="shared" si="34"/>
      </c>
      <c r="BO32" s="40">
        <f t="shared" si="5"/>
      </c>
      <c r="BP32" s="40">
        <f t="shared" si="35"/>
      </c>
      <c r="BQ32" s="40">
        <f t="shared" si="36"/>
      </c>
      <c r="BR32" s="40">
        <f t="shared" si="37"/>
      </c>
      <c r="BS32" s="40">
        <f t="shared" si="75"/>
      </c>
      <c r="BT32" s="40">
        <f t="shared" si="38"/>
      </c>
      <c r="BU32" s="40">
        <f t="shared" si="39"/>
      </c>
      <c r="BV32" s="75">
        <f t="shared" si="40"/>
      </c>
      <c r="BW32" s="75">
        <f t="shared" si="41"/>
      </c>
      <c r="BX32" s="40">
        <f t="shared" si="6"/>
      </c>
      <c r="BY32" s="40">
        <f t="shared" si="42"/>
      </c>
      <c r="BZ32" s="61"/>
      <c r="CA32" s="73">
        <f t="shared" si="43"/>
      </c>
      <c r="CB32" s="84"/>
      <c r="CC32" s="73">
        <f t="shared" si="44"/>
      </c>
      <c r="CD32" s="73">
        <f t="shared" si="85"/>
      </c>
      <c r="CE32" s="73">
        <f t="shared" si="86"/>
      </c>
      <c r="CF32" s="73">
        <f t="shared" si="87"/>
      </c>
      <c r="CG32" s="73">
        <f t="shared" si="48"/>
      </c>
      <c r="CH32" s="73">
        <f t="shared" si="49"/>
      </c>
      <c r="CI32" s="73">
        <f t="shared" si="50"/>
      </c>
      <c r="CJ32" s="76">
        <f t="shared" si="51"/>
      </c>
      <c r="CK32" s="76">
        <f t="shared" si="76"/>
      </c>
      <c r="CL32" s="76">
        <f t="shared" si="77"/>
      </c>
      <c r="CM32" s="76">
        <f t="shared" si="78"/>
      </c>
      <c r="CN32" s="40">
        <f t="shared" si="7"/>
      </c>
      <c r="CO32" s="40">
        <f t="shared" si="88"/>
      </c>
      <c r="CP32" s="40">
        <f t="shared" si="89"/>
      </c>
      <c r="CQ32" s="40">
        <f t="shared" si="90"/>
      </c>
      <c r="CR32" s="40">
        <f t="shared" si="91"/>
      </c>
      <c r="CS32" s="40">
        <f t="shared" si="81"/>
      </c>
      <c r="CT32" s="40">
        <f t="shared" si="55"/>
      </c>
      <c r="CU32" s="40">
        <f t="shared" si="93"/>
      </c>
      <c r="CV32" s="40">
        <f t="shared" si="94"/>
      </c>
      <c r="CW32" s="40">
        <f t="shared" si="95"/>
      </c>
      <c r="CX32" s="40">
        <f t="shared" si="82"/>
      </c>
      <c r="CY32" s="40">
        <f t="shared" si="83"/>
      </c>
      <c r="CZ32" s="40">
        <f t="shared" si="92"/>
      </c>
      <c r="DA32" s="40">
        <f t="shared" si="60"/>
      </c>
    </row>
    <row r="33" spans="1:105" ht="12.75">
      <c r="A33" s="61"/>
      <c r="B33" s="61"/>
      <c r="C33" s="61"/>
      <c r="D33" s="61"/>
      <c r="E33" s="61"/>
      <c r="F33" s="61"/>
      <c r="G33" s="61"/>
      <c r="H33" s="120"/>
      <c r="I33" s="61"/>
      <c r="J33" s="61"/>
      <c r="K33" s="61"/>
      <c r="L33" s="61"/>
      <c r="M33" s="61"/>
      <c r="N33" s="61"/>
      <c r="O33" s="61"/>
      <c r="P33" s="61"/>
      <c r="Q33" s="120"/>
      <c r="R33" s="120"/>
      <c r="S33" s="120"/>
      <c r="T33" s="120"/>
      <c r="U33" s="72">
        <f t="shared" si="84"/>
      </c>
      <c r="V33" s="72">
        <f t="shared" si="12"/>
      </c>
      <c r="W33" s="73">
        <f t="shared" si="13"/>
      </c>
      <c r="X33" s="72">
        <f t="shared" si="14"/>
      </c>
      <c r="Y33" s="72">
        <f t="shared" si="15"/>
      </c>
      <c r="Z33" s="72">
        <f t="shared" si="16"/>
      </c>
      <c r="AA33" s="72">
        <f t="shared" si="17"/>
      </c>
      <c r="AB33" s="72">
        <f t="shared" si="18"/>
      </c>
      <c r="AC33" s="72">
        <f t="shared" si="19"/>
      </c>
      <c r="AD33" s="74">
        <f t="shared" si="20"/>
      </c>
      <c r="AE33" s="73">
        <f t="shared" si="61"/>
      </c>
      <c r="AF33" s="40">
        <f t="shared" si="62"/>
      </c>
      <c r="AG33" s="40">
        <f t="shared" si="21"/>
      </c>
      <c r="AH33" s="40">
        <f t="shared" si="22"/>
      </c>
      <c r="AI33" s="270">
        <f t="shared" si="23"/>
      </c>
      <c r="AJ33" s="40">
        <f>IF($B33="","",I33*IF($G$14="Sí",IF(OR($D33="R",$D33="RST"),IF($D$2="Sí",IF($G33="Motor",$D$6*$W33/(BB33^2),$W33/$D$6)*($AV33*$F33+$AW33*SIN(ACOS($F33))),$W33*$F33))+SUMIF(INICIO,$B33,R_RE),0))</f>
      </c>
      <c r="AK33" s="40">
        <f>IF(B33="","",I33*IF($G$14="Sí",IF(OR($D33="R",$D33="RST"),IF($D$2="Sí",IF($G33="Motor",$D$6*$W33/(BB33^2),$W33/$D$6)*($AW33*$F33-$AV33*SIN(ACOS($F33))),-$W33*SIN(ACOS($F33))))+SUMIF(INICIO,$B33,R_IM),0))</f>
      </c>
      <c r="AL33" s="273">
        <f t="shared" si="24"/>
      </c>
      <c r="AM33" s="40">
        <f>IF(B33="","",I33*IF($H$14="Sí",IF(OR($D33="S",$D33="RST"),IF($D$2="Sí",IF($G33="Motor",$D$6*$W33/(BC33^2),$W33/$D$6)*($AX33*$F33+$AY33*SIN(ACOS($F33))),-$W33*$F33/2-SQRT(3)/2*$W33*SIN(ACOS($F33))))+SUMIF(INICIO,$B33,S_RE),0))</f>
      </c>
      <c r="AN33" s="40">
        <f>IF(B33="","",I33*IF($H$14="Sí",IF(OR($D33="S",$D33="RST"),IF($D$2="Sí",IF($G33="Motor",$D$6*$W33/(BC33^2),$W33/$D$6)*($AY33*$F33-$AX33*SIN(ACOS($F33))),-SQRT(3)/2*$W33*$F33+0.5*$W33*SIN(ACOS($F33))))+SUMIF(INICIO,$B33,S_IM),0))</f>
      </c>
      <c r="AO33" s="273">
        <f t="shared" si="25"/>
      </c>
      <c r="AP33" s="40">
        <f>IF(B33="","",I33*IF($I$14="Sí",IF(OR($D33="T",$D33="RST"),IF($D$2="Sí",IF($G33="Motor",$D$6*$W33/(BD33^2),$W33/$D$6)*($AZ33*$F33+$BA33*SIN(ACOS($F33))),-$W33*$F33/2+SQRT(3)/2*$W33*SIN(ACOS($F33))))+SUMIF(INICIO,$B33,T_RE),0))</f>
      </c>
      <c r="AQ33" s="272">
        <f>IF(B33="","",I33*IF($I$14="Sí",IF(OR($D33="T",$D33="RST"),IF($D$2="Sí",IF($G33="Motor",$D$6*$W33/(BD33^2),$W33/$D$6)*($BA33*$F33-$AZ33*SIN(ACOS($F33))),SQRT(3)/2*$W33*$F33+0.5*$W33*SIN(ACOS($F33))))+SUMIF(INICIO,$B33,T_IM),0))</f>
      </c>
      <c r="AR33" s="40">
        <f t="shared" si="26"/>
      </c>
      <c r="AS33" s="40">
        <f t="shared" si="27"/>
      </c>
      <c r="AT33" s="40">
        <f t="shared" si="28"/>
      </c>
      <c r="AU33" s="40">
        <f t="shared" si="29"/>
      </c>
      <c r="AV33" s="73">
        <f t="shared" si="63"/>
      </c>
      <c r="AW33" s="73">
        <f t="shared" si="64"/>
      </c>
      <c r="AX33" s="73">
        <f t="shared" si="65"/>
      </c>
      <c r="AY33" s="73">
        <f t="shared" si="66"/>
      </c>
      <c r="AZ33" s="73">
        <f t="shared" si="67"/>
      </c>
      <c r="BA33" s="73">
        <f t="shared" si="68"/>
      </c>
      <c r="BB33" s="73">
        <f t="shared" si="69"/>
      </c>
      <c r="BC33" s="73">
        <f t="shared" si="70"/>
      </c>
      <c r="BD33" s="73">
        <f t="shared" si="71"/>
      </c>
      <c r="BE33" s="73">
        <f t="shared" si="30"/>
      </c>
      <c r="BF33" s="73">
        <f t="shared" si="31"/>
      </c>
      <c r="BG33" s="73">
        <f t="shared" si="32"/>
      </c>
      <c r="BH33" s="73">
        <f t="shared" si="33"/>
      </c>
      <c r="BI33" s="73">
        <f t="shared" si="79"/>
      </c>
      <c r="BJ33" s="73">
        <f t="shared" si="80"/>
      </c>
      <c r="BK33" s="40">
        <f t="shared" si="72"/>
      </c>
      <c r="BL33" s="40">
        <f t="shared" si="73"/>
      </c>
      <c r="BM33" s="40">
        <f t="shared" si="74"/>
      </c>
      <c r="BN33" s="40">
        <f t="shared" si="34"/>
      </c>
      <c r="BO33" s="40">
        <f t="shared" si="5"/>
      </c>
      <c r="BP33" s="40">
        <f t="shared" si="35"/>
      </c>
      <c r="BQ33" s="40">
        <f t="shared" si="36"/>
      </c>
      <c r="BR33" s="40">
        <f t="shared" si="37"/>
      </c>
      <c r="BS33" s="40">
        <f t="shared" si="75"/>
      </c>
      <c r="BT33" s="40">
        <f t="shared" si="38"/>
      </c>
      <c r="BU33" s="40">
        <f t="shared" si="39"/>
      </c>
      <c r="BV33" s="75">
        <f t="shared" si="40"/>
      </c>
      <c r="BW33" s="75">
        <f t="shared" si="41"/>
      </c>
      <c r="BX33" s="40">
        <f t="shared" si="6"/>
      </c>
      <c r="BY33" s="40">
        <f t="shared" si="42"/>
      </c>
      <c r="BZ33" s="61"/>
      <c r="CA33" s="73">
        <f t="shared" si="43"/>
      </c>
      <c r="CB33" s="84"/>
      <c r="CC33" s="73">
        <f t="shared" si="44"/>
      </c>
      <c r="CD33" s="73">
        <f t="shared" si="85"/>
      </c>
      <c r="CE33" s="73">
        <f t="shared" si="86"/>
      </c>
      <c r="CF33" s="73">
        <f t="shared" si="87"/>
      </c>
      <c r="CG33" s="73">
        <f t="shared" si="48"/>
      </c>
      <c r="CH33" s="73">
        <f t="shared" si="49"/>
      </c>
      <c r="CI33" s="73">
        <f t="shared" si="50"/>
      </c>
      <c r="CJ33" s="76">
        <f t="shared" si="51"/>
      </c>
      <c r="CK33" s="76">
        <f t="shared" si="76"/>
      </c>
      <c r="CL33" s="76">
        <f t="shared" si="77"/>
      </c>
      <c r="CM33" s="76">
        <f t="shared" si="78"/>
      </c>
      <c r="CN33" s="40">
        <f t="shared" si="7"/>
      </c>
      <c r="CO33" s="40">
        <f t="shared" si="88"/>
      </c>
      <c r="CP33" s="40">
        <f t="shared" si="89"/>
      </c>
      <c r="CQ33" s="40">
        <f t="shared" si="90"/>
      </c>
      <c r="CR33" s="40">
        <f t="shared" si="91"/>
      </c>
      <c r="CS33" s="40">
        <f t="shared" si="81"/>
      </c>
      <c r="CT33" s="40">
        <f t="shared" si="55"/>
      </c>
      <c r="CU33" s="40">
        <f t="shared" si="93"/>
      </c>
      <c r="CV33" s="40">
        <f t="shared" si="94"/>
      </c>
      <c r="CW33" s="40">
        <f t="shared" si="95"/>
      </c>
      <c r="CX33" s="40">
        <f t="shared" si="82"/>
      </c>
      <c r="CY33" s="40">
        <f t="shared" si="83"/>
      </c>
      <c r="CZ33" s="40">
        <f t="shared" si="92"/>
      </c>
      <c r="DA33" s="40">
        <f t="shared" si="60"/>
      </c>
    </row>
    <row r="34" spans="1:105" ht="12.75">
      <c r="A34" s="61"/>
      <c r="B34" s="61"/>
      <c r="C34" s="61"/>
      <c r="D34" s="61"/>
      <c r="E34" s="61"/>
      <c r="F34" s="61"/>
      <c r="G34" s="61"/>
      <c r="H34" s="120"/>
      <c r="I34" s="61"/>
      <c r="J34" s="61"/>
      <c r="K34" s="61"/>
      <c r="L34" s="61"/>
      <c r="M34" s="61"/>
      <c r="N34" s="61"/>
      <c r="O34" s="61"/>
      <c r="P34" s="61"/>
      <c r="Q34" s="120"/>
      <c r="R34" s="120"/>
      <c r="S34" s="120"/>
      <c r="T34" s="120"/>
      <c r="U34" s="72">
        <f t="shared" si="84"/>
      </c>
      <c r="V34" s="72">
        <f t="shared" si="12"/>
      </c>
      <c r="W34" s="73">
        <f t="shared" si="13"/>
      </c>
      <c r="X34" s="72">
        <f t="shared" si="14"/>
      </c>
      <c r="Y34" s="72">
        <f t="shared" si="15"/>
      </c>
      <c r="Z34" s="72">
        <f t="shared" si="16"/>
      </c>
      <c r="AA34" s="72">
        <f t="shared" si="17"/>
      </c>
      <c r="AB34" s="72">
        <f t="shared" si="18"/>
      </c>
      <c r="AC34" s="72">
        <f t="shared" si="19"/>
      </c>
      <c r="AD34" s="74">
        <f t="shared" si="20"/>
      </c>
      <c r="AE34" s="73">
        <f t="shared" si="61"/>
      </c>
      <c r="AF34" s="40">
        <f t="shared" si="62"/>
      </c>
      <c r="AG34" s="40">
        <f t="shared" si="21"/>
      </c>
      <c r="AH34" s="40">
        <f t="shared" si="22"/>
      </c>
      <c r="AI34" s="270">
        <f t="shared" si="23"/>
      </c>
      <c r="AJ34" s="40">
        <f>IF($B34="","",I34*IF($G$14="Sí",IF(OR($D34="R",$D34="RST"),IF($D$2="Sí",IF($G34="Motor",$D$6*$W34/(BB34^2),$W34/$D$6)*($AV34*$F34+$AW34*SIN(ACOS($F34))),$W34*$F34))+SUMIF(INICIO,$B34,R_RE),0))</f>
      </c>
      <c r="AK34" s="40">
        <f>IF(B34="","",I34*IF($G$14="Sí",IF(OR($D34="R",$D34="RST"),IF($D$2="Sí",IF($G34="Motor",$D$6*$W34/(BB34^2),$W34/$D$6)*($AW34*$F34-$AV34*SIN(ACOS($F34))),-$W34*SIN(ACOS($F34))))+SUMIF(INICIO,$B34,R_IM),0))</f>
      </c>
      <c r="AL34" s="273">
        <f t="shared" si="24"/>
      </c>
      <c r="AM34" s="40">
        <f>IF(B34="","",I34*IF($H$14="Sí",IF(OR($D34="S",$D34="RST"),IF($D$2="Sí",IF($G34="Motor",$D$6*$W34/(BC34^2),$W34/$D$6)*($AX34*$F34+$AY34*SIN(ACOS($F34))),-$W34*$F34/2-SQRT(3)/2*$W34*SIN(ACOS($F34))))+SUMIF(INICIO,$B34,S_RE),0))</f>
      </c>
      <c r="AN34" s="40">
        <f>IF(B34="","",I34*IF($H$14="Sí",IF(OR($D34="S",$D34="RST"),IF($D$2="Sí",IF($G34="Motor",$D$6*$W34/(BC34^2),$W34/$D$6)*($AY34*$F34-$AX34*SIN(ACOS($F34))),-SQRT(3)/2*$W34*$F34+0.5*$W34*SIN(ACOS($F34))))+SUMIF(INICIO,$B34,S_IM),0))</f>
      </c>
      <c r="AO34" s="273">
        <f t="shared" si="25"/>
      </c>
      <c r="AP34" s="40">
        <f>IF(B34="","",I34*IF($I$14="Sí",IF(OR($D34="T",$D34="RST"),IF($D$2="Sí",IF($G34="Motor",$D$6*$W34/(BD34^2),$W34/$D$6)*($AZ34*$F34+$BA34*SIN(ACOS($F34))),-$W34*$F34/2+SQRT(3)/2*$W34*SIN(ACOS($F34))))+SUMIF(INICIO,$B34,T_RE),0))</f>
      </c>
      <c r="AQ34" s="272">
        <f>IF(B34="","",I34*IF($I$14="Sí",IF(OR($D34="T",$D34="RST"),IF($D$2="Sí",IF($G34="Motor",$D$6*$W34/(BD34^2),$W34/$D$6)*($BA34*$F34-$AZ34*SIN(ACOS($F34))),SQRT(3)/2*$W34*$F34+0.5*$W34*SIN(ACOS($F34))))+SUMIF(INICIO,$B34,T_IM),0))</f>
      </c>
      <c r="AR34" s="40">
        <f t="shared" si="26"/>
      </c>
      <c r="AS34" s="40">
        <f t="shared" si="27"/>
      </c>
      <c r="AT34" s="40">
        <f t="shared" si="28"/>
      </c>
      <c r="AU34" s="40">
        <f t="shared" si="29"/>
      </c>
      <c r="AV34" s="73">
        <f t="shared" si="63"/>
      </c>
      <c r="AW34" s="73">
        <f t="shared" si="64"/>
      </c>
      <c r="AX34" s="73">
        <f t="shared" si="65"/>
      </c>
      <c r="AY34" s="73">
        <f t="shared" si="66"/>
      </c>
      <c r="AZ34" s="73">
        <f t="shared" si="67"/>
      </c>
      <c r="BA34" s="73">
        <f t="shared" si="68"/>
      </c>
      <c r="BB34" s="73">
        <f t="shared" si="69"/>
      </c>
      <c r="BC34" s="73">
        <f t="shared" si="70"/>
      </c>
      <c r="BD34" s="73">
        <f t="shared" si="71"/>
      </c>
      <c r="BE34" s="73">
        <f t="shared" si="30"/>
      </c>
      <c r="BF34" s="73">
        <f t="shared" si="31"/>
      </c>
      <c r="BG34" s="73">
        <f t="shared" si="32"/>
      </c>
      <c r="BH34" s="73">
        <f t="shared" si="33"/>
      </c>
      <c r="BI34" s="73">
        <f t="shared" si="79"/>
      </c>
      <c r="BJ34" s="73">
        <f t="shared" si="80"/>
      </c>
      <c r="BK34" s="40">
        <f t="shared" si="72"/>
      </c>
      <c r="BL34" s="40">
        <f t="shared" si="73"/>
      </c>
      <c r="BM34" s="40">
        <f t="shared" si="74"/>
      </c>
      <c r="BN34" s="40">
        <f t="shared" si="34"/>
      </c>
      <c r="BO34" s="40">
        <f t="shared" si="5"/>
      </c>
      <c r="BP34" s="40">
        <f t="shared" si="35"/>
      </c>
      <c r="BQ34" s="40">
        <f t="shared" si="36"/>
      </c>
      <c r="BR34" s="40">
        <f t="shared" si="37"/>
      </c>
      <c r="BS34" s="40">
        <f t="shared" si="75"/>
      </c>
      <c r="BT34" s="40">
        <f t="shared" si="38"/>
      </c>
      <c r="BU34" s="40">
        <f t="shared" si="39"/>
      </c>
      <c r="BV34" s="75">
        <f t="shared" si="40"/>
      </c>
      <c r="BW34" s="75">
        <f t="shared" si="41"/>
      </c>
      <c r="BX34" s="40">
        <f t="shared" si="6"/>
      </c>
      <c r="BY34" s="40">
        <f t="shared" si="42"/>
      </c>
      <c r="BZ34" s="61"/>
      <c r="CA34" s="73">
        <f t="shared" si="43"/>
      </c>
      <c r="CB34" s="84"/>
      <c r="CC34" s="73">
        <f t="shared" si="44"/>
      </c>
      <c r="CD34" s="73">
        <f t="shared" si="85"/>
      </c>
      <c r="CE34" s="73">
        <f t="shared" si="86"/>
      </c>
      <c r="CF34" s="73">
        <f t="shared" si="87"/>
      </c>
      <c r="CG34" s="73">
        <f t="shared" si="48"/>
      </c>
      <c r="CH34" s="73">
        <f t="shared" si="49"/>
      </c>
      <c r="CI34" s="73">
        <f t="shared" si="50"/>
      </c>
      <c r="CJ34" s="76">
        <f t="shared" si="51"/>
      </c>
      <c r="CK34" s="76">
        <f t="shared" si="76"/>
      </c>
      <c r="CL34" s="76">
        <f t="shared" si="77"/>
      </c>
      <c r="CM34" s="76">
        <f t="shared" si="78"/>
      </c>
      <c r="CN34" s="40">
        <f t="shared" si="7"/>
      </c>
      <c r="CO34" s="40">
        <f t="shared" si="88"/>
      </c>
      <c r="CP34" s="40">
        <f t="shared" si="89"/>
      </c>
      <c r="CQ34" s="40">
        <f t="shared" si="90"/>
      </c>
      <c r="CR34" s="40">
        <f t="shared" si="91"/>
      </c>
      <c r="CS34" s="40">
        <f t="shared" si="81"/>
      </c>
      <c r="CT34" s="40">
        <f t="shared" si="55"/>
      </c>
      <c r="CU34" s="40">
        <f t="shared" si="93"/>
      </c>
      <c r="CV34" s="40">
        <f t="shared" si="94"/>
      </c>
      <c r="CW34" s="40">
        <f t="shared" si="95"/>
      </c>
      <c r="CX34" s="40">
        <f t="shared" si="82"/>
      </c>
      <c r="CY34" s="40">
        <f t="shared" si="83"/>
      </c>
      <c r="CZ34" s="40">
        <f t="shared" si="92"/>
      </c>
      <c r="DA34" s="40">
        <f t="shared" si="60"/>
      </c>
    </row>
    <row r="35" spans="1:105" ht="12.75">
      <c r="A35" s="61"/>
      <c r="B35" s="61"/>
      <c r="C35" s="61"/>
      <c r="D35" s="61"/>
      <c r="E35" s="61"/>
      <c r="F35" s="61"/>
      <c r="G35" s="61"/>
      <c r="H35" s="120"/>
      <c r="I35" s="61"/>
      <c r="J35" s="61"/>
      <c r="K35" s="61"/>
      <c r="L35" s="61"/>
      <c r="M35" s="61"/>
      <c r="N35" s="61"/>
      <c r="O35" s="61"/>
      <c r="P35" s="61"/>
      <c r="Q35" s="120"/>
      <c r="R35" s="120"/>
      <c r="S35" s="120"/>
      <c r="T35" s="120"/>
      <c r="U35" s="72">
        <f t="shared" si="84"/>
      </c>
      <c r="V35" s="72">
        <f t="shared" si="12"/>
      </c>
      <c r="W35" s="73">
        <f t="shared" si="13"/>
      </c>
      <c r="X35" s="72">
        <f t="shared" si="14"/>
      </c>
      <c r="Y35" s="72">
        <f t="shared" si="15"/>
      </c>
      <c r="Z35" s="72">
        <f t="shared" si="16"/>
      </c>
      <c r="AA35" s="72">
        <f t="shared" si="17"/>
      </c>
      <c r="AB35" s="72">
        <f t="shared" si="18"/>
      </c>
      <c r="AC35" s="72">
        <f t="shared" si="19"/>
      </c>
      <c r="AD35" s="74">
        <f t="shared" si="20"/>
      </c>
      <c r="AE35" s="73">
        <f t="shared" si="61"/>
      </c>
      <c r="AF35" s="40">
        <f t="shared" si="62"/>
      </c>
      <c r="AG35" s="40">
        <f t="shared" si="21"/>
      </c>
      <c r="AH35" s="40">
        <f t="shared" si="22"/>
      </c>
      <c r="AI35" s="270">
        <f t="shared" si="23"/>
      </c>
      <c r="AJ35" s="40">
        <f>IF($B35="","",I35*IF($G$14="Sí",IF(OR($D35="R",$D35="RST"),IF($D$2="Sí",IF($G35="Motor",$D$6*$W35/(BB35^2),$W35/$D$6)*($AV35*$F35+$AW35*SIN(ACOS($F35))),$W35*$F35))+SUMIF(INICIO,$B35,R_RE),0))</f>
      </c>
      <c r="AK35" s="40">
        <f>IF(B35="","",I35*IF($G$14="Sí",IF(OR($D35="R",$D35="RST"),IF($D$2="Sí",IF($G35="Motor",$D$6*$W35/(BB35^2),$W35/$D$6)*($AW35*$F35-$AV35*SIN(ACOS($F35))),-$W35*SIN(ACOS($F35))))+SUMIF(INICIO,$B35,R_IM),0))</f>
      </c>
      <c r="AL35" s="273">
        <f t="shared" si="24"/>
      </c>
      <c r="AM35" s="40">
        <f>IF(B35="","",I35*IF($H$14="Sí",IF(OR($D35="S",$D35="RST"),IF($D$2="Sí",IF($G35="Motor",$D$6*$W35/(BC35^2),$W35/$D$6)*($AX35*$F35+$AY35*SIN(ACOS($F35))),-$W35*$F35/2-SQRT(3)/2*$W35*SIN(ACOS($F35))))+SUMIF(INICIO,$B35,S_RE),0))</f>
      </c>
      <c r="AN35" s="40">
        <f>IF(B35="","",I35*IF($H$14="Sí",IF(OR($D35="S",$D35="RST"),IF($D$2="Sí",IF($G35="Motor",$D$6*$W35/(BC35^2),$W35/$D$6)*($AY35*$F35-$AX35*SIN(ACOS($F35))),-SQRT(3)/2*$W35*$F35+0.5*$W35*SIN(ACOS($F35))))+SUMIF(INICIO,$B35,S_IM),0))</f>
      </c>
      <c r="AO35" s="273">
        <f t="shared" si="25"/>
      </c>
      <c r="AP35" s="40">
        <f>IF(B35="","",I35*IF($I$14="Sí",IF(OR($D35="T",$D35="RST"),IF($D$2="Sí",IF($G35="Motor",$D$6*$W35/(BD35^2),$W35/$D$6)*($AZ35*$F35+$BA35*SIN(ACOS($F35))),-$W35*$F35/2+SQRT(3)/2*$W35*SIN(ACOS($F35))))+SUMIF(INICIO,$B35,T_RE),0))</f>
      </c>
      <c r="AQ35" s="272">
        <f>IF(B35="","",I35*IF($I$14="Sí",IF(OR($D35="T",$D35="RST"),IF($D$2="Sí",IF($G35="Motor",$D$6*$W35/(BD35^2),$W35/$D$6)*($BA35*$F35-$AZ35*SIN(ACOS($F35))),SQRT(3)/2*$W35*$F35+0.5*$W35*SIN(ACOS($F35))))+SUMIF(INICIO,$B35,T_IM),0))</f>
      </c>
      <c r="AR35" s="40">
        <f t="shared" si="26"/>
      </c>
      <c r="AS35" s="40">
        <f t="shared" si="27"/>
      </c>
      <c r="AT35" s="40">
        <f t="shared" si="28"/>
      </c>
      <c r="AU35" s="40">
        <f t="shared" si="29"/>
      </c>
      <c r="AV35" s="73">
        <f t="shared" si="63"/>
      </c>
      <c r="AW35" s="73">
        <f t="shared" si="64"/>
      </c>
      <c r="AX35" s="73">
        <f t="shared" si="65"/>
      </c>
      <c r="AY35" s="73">
        <f t="shared" si="66"/>
      </c>
      <c r="AZ35" s="73">
        <f t="shared" si="67"/>
      </c>
      <c r="BA35" s="73">
        <f t="shared" si="68"/>
      </c>
      <c r="BB35" s="73">
        <f t="shared" si="69"/>
      </c>
      <c r="BC35" s="73">
        <f t="shared" si="70"/>
      </c>
      <c r="BD35" s="73">
        <f t="shared" si="71"/>
      </c>
      <c r="BE35" s="73">
        <f t="shared" si="30"/>
      </c>
      <c r="BF35" s="73">
        <f t="shared" si="31"/>
      </c>
      <c r="BG35" s="73">
        <f t="shared" si="32"/>
      </c>
      <c r="BH35" s="73">
        <f t="shared" si="33"/>
      </c>
      <c r="BI35" s="73">
        <f aca="true" t="shared" si="96" ref="BI35:BI98">IF(B35="","",100*($D$6-BC35)/$D$6)</f>
      </c>
      <c r="BJ35" s="73">
        <f aca="true" t="shared" si="97" ref="BJ35:BJ98">IF(B35="","",100*($D$6-BD35)/$D$6)</f>
      </c>
      <c r="BK35" s="40">
        <f t="shared" si="72"/>
      </c>
      <c r="BL35" s="40">
        <f t="shared" si="73"/>
      </c>
      <c r="BM35" s="40">
        <f t="shared" si="74"/>
      </c>
      <c r="BN35" s="40">
        <f t="shared" si="34"/>
      </c>
      <c r="BO35" s="40">
        <f t="shared" si="5"/>
      </c>
      <c r="BP35" s="40">
        <f t="shared" si="35"/>
      </c>
      <c r="BQ35" s="40">
        <f t="shared" si="36"/>
      </c>
      <c r="BR35" s="40">
        <f t="shared" si="37"/>
      </c>
      <c r="BS35" s="40">
        <f t="shared" si="75"/>
      </c>
      <c r="BT35" s="40">
        <f t="shared" si="38"/>
      </c>
      <c r="BU35" s="40">
        <f t="shared" si="39"/>
      </c>
      <c r="BV35" s="75">
        <f t="shared" si="40"/>
      </c>
      <c r="BW35" s="75">
        <f t="shared" si="41"/>
      </c>
      <c r="BX35" s="40">
        <f t="shared" si="6"/>
      </c>
      <c r="BY35" s="40">
        <f t="shared" si="42"/>
      </c>
      <c r="BZ35" s="61"/>
      <c r="CA35" s="73">
        <f t="shared" si="43"/>
      </c>
      <c r="CB35" s="84"/>
      <c r="CC35" s="73">
        <f t="shared" si="44"/>
      </c>
      <c r="CD35" s="73">
        <f t="shared" si="85"/>
      </c>
      <c r="CE35" s="73">
        <f t="shared" si="86"/>
      </c>
      <c r="CF35" s="73">
        <f t="shared" si="87"/>
      </c>
      <c r="CG35" s="73">
        <f t="shared" si="48"/>
      </c>
      <c r="CH35" s="73">
        <f t="shared" si="49"/>
      </c>
      <c r="CI35" s="73">
        <f t="shared" si="50"/>
      </c>
      <c r="CJ35" s="76">
        <f t="shared" si="51"/>
      </c>
      <c r="CK35" s="76">
        <f t="shared" si="76"/>
      </c>
      <c r="CL35" s="76">
        <f t="shared" si="77"/>
      </c>
      <c r="CM35" s="76">
        <f t="shared" si="78"/>
      </c>
      <c r="CN35" s="40">
        <f t="shared" si="7"/>
      </c>
      <c r="CO35" s="40">
        <f t="shared" si="88"/>
      </c>
      <c r="CP35" s="40">
        <f t="shared" si="89"/>
      </c>
      <c r="CQ35" s="40">
        <f t="shared" si="90"/>
      </c>
      <c r="CR35" s="40">
        <f t="shared" si="91"/>
      </c>
      <c r="CS35" s="40">
        <f t="shared" si="81"/>
      </c>
      <c r="CT35" s="40">
        <f t="shared" si="55"/>
      </c>
      <c r="CU35" s="40">
        <f t="shared" si="93"/>
      </c>
      <c r="CV35" s="40">
        <f t="shared" si="94"/>
      </c>
      <c r="CW35" s="40">
        <f t="shared" si="95"/>
      </c>
      <c r="CX35" s="40">
        <f t="shared" si="82"/>
      </c>
      <c r="CY35" s="40">
        <f t="shared" si="83"/>
      </c>
      <c r="CZ35" s="40">
        <f t="shared" si="92"/>
      </c>
      <c r="DA35" s="40">
        <f t="shared" si="60"/>
      </c>
    </row>
    <row r="36" spans="1:105" ht="12.75">
      <c r="A36" s="61"/>
      <c r="B36" s="61"/>
      <c r="C36" s="61"/>
      <c r="D36" s="61"/>
      <c r="E36" s="61"/>
      <c r="F36" s="61"/>
      <c r="G36" s="61"/>
      <c r="H36" s="120"/>
      <c r="I36" s="61"/>
      <c r="J36" s="61"/>
      <c r="K36" s="61"/>
      <c r="L36" s="61"/>
      <c r="M36" s="61"/>
      <c r="N36" s="61"/>
      <c r="O36" s="61"/>
      <c r="P36" s="61"/>
      <c r="Q36" s="120"/>
      <c r="R36" s="120"/>
      <c r="S36" s="120"/>
      <c r="T36" s="120"/>
      <c r="U36" s="72">
        <f t="shared" si="84"/>
      </c>
      <c r="V36" s="72">
        <f t="shared" si="12"/>
      </c>
      <c r="W36" s="73">
        <f t="shared" si="13"/>
      </c>
      <c r="X36" s="72">
        <f t="shared" si="14"/>
      </c>
      <c r="Y36" s="72">
        <f t="shared" si="15"/>
      </c>
      <c r="Z36" s="72">
        <f t="shared" si="16"/>
      </c>
      <c r="AA36" s="72">
        <f t="shared" si="17"/>
      </c>
      <c r="AB36" s="72">
        <f t="shared" si="18"/>
      </c>
      <c r="AC36" s="72">
        <f t="shared" si="19"/>
      </c>
      <c r="AD36" s="74">
        <f t="shared" si="20"/>
      </c>
      <c r="AE36" s="73">
        <f t="shared" si="61"/>
      </c>
      <c r="AF36" s="40">
        <f t="shared" si="62"/>
      </c>
      <c r="AG36" s="40">
        <f t="shared" si="21"/>
      </c>
      <c r="AH36" s="40">
        <f t="shared" si="22"/>
      </c>
      <c r="AI36" s="270">
        <f t="shared" si="23"/>
      </c>
      <c r="AJ36" s="40">
        <f>IF($B36="","",I36*IF($G$14="Sí",IF(OR($D36="R",$D36="RST"),IF($D$2="Sí",IF($G36="Motor",$D$6*$W36/(BB36^2),$W36/$D$6)*($AV36*$F36+$AW36*SIN(ACOS($F36))),$W36*$F36))+SUMIF(INICIO,$B36,R_RE),0))</f>
      </c>
      <c r="AK36" s="40">
        <f>IF(B36="","",I36*IF($G$14="Sí",IF(OR($D36="R",$D36="RST"),IF($D$2="Sí",IF($G36="Motor",$D$6*$W36/(BB36^2),$W36/$D$6)*($AW36*$F36-$AV36*SIN(ACOS($F36))),-$W36*SIN(ACOS($F36))))+SUMIF(INICIO,$B36,R_IM),0))</f>
      </c>
      <c r="AL36" s="273">
        <f t="shared" si="24"/>
      </c>
      <c r="AM36" s="40">
        <f>IF(B36="","",I36*IF($H$14="Sí",IF(OR($D36="S",$D36="RST"),IF($D$2="Sí",IF($G36="Motor",$D$6*$W36/(BC36^2),$W36/$D$6)*($AX36*$F36+$AY36*SIN(ACOS($F36))),-$W36*$F36/2-SQRT(3)/2*$W36*SIN(ACOS($F36))))+SUMIF(INICIO,$B36,S_RE),0))</f>
      </c>
      <c r="AN36" s="40">
        <f>IF(B36="","",I36*IF($H$14="Sí",IF(OR($D36="S",$D36="RST"),IF($D$2="Sí",IF($G36="Motor",$D$6*$W36/(BC36^2),$W36/$D$6)*($AY36*$F36-$AX36*SIN(ACOS($F36))),-SQRT(3)/2*$W36*$F36+0.5*$W36*SIN(ACOS($F36))))+SUMIF(INICIO,$B36,S_IM),0))</f>
      </c>
      <c r="AO36" s="273">
        <f t="shared" si="25"/>
      </c>
      <c r="AP36" s="40">
        <f>IF(B36="","",I36*IF($I$14="Sí",IF(OR($D36="T",$D36="RST"),IF($D$2="Sí",IF($G36="Motor",$D$6*$W36/(BD36^2),$W36/$D$6)*($AZ36*$F36+$BA36*SIN(ACOS($F36))),-$W36*$F36/2+SQRT(3)/2*$W36*SIN(ACOS($F36))))+SUMIF(INICIO,$B36,T_RE),0))</f>
      </c>
      <c r="AQ36" s="272">
        <f>IF(B36="","",I36*IF($I$14="Sí",IF(OR($D36="T",$D36="RST"),IF($D$2="Sí",IF($G36="Motor",$D$6*$W36/(BD36^2),$W36/$D$6)*($BA36*$F36-$AZ36*SIN(ACOS($F36))),SQRT(3)/2*$W36*$F36+0.5*$W36*SIN(ACOS($F36))))+SUMIF(INICIO,$B36,T_IM),0))</f>
      </c>
      <c r="AR36" s="40">
        <f t="shared" si="26"/>
      </c>
      <c r="AS36" s="40">
        <f t="shared" si="27"/>
      </c>
      <c r="AT36" s="40">
        <f t="shared" si="28"/>
      </c>
      <c r="AU36" s="40">
        <f t="shared" si="29"/>
      </c>
      <c r="AV36" s="73">
        <f t="shared" si="63"/>
      </c>
      <c r="AW36" s="73">
        <f t="shared" si="64"/>
      </c>
      <c r="AX36" s="73">
        <f t="shared" si="65"/>
      </c>
      <c r="AY36" s="73">
        <f t="shared" si="66"/>
      </c>
      <c r="AZ36" s="73">
        <f t="shared" si="67"/>
      </c>
      <c r="BA36" s="73">
        <f t="shared" si="68"/>
      </c>
      <c r="BB36" s="73">
        <f t="shared" si="69"/>
      </c>
      <c r="BC36" s="73">
        <f t="shared" si="70"/>
      </c>
      <c r="BD36" s="73">
        <f t="shared" si="71"/>
      </c>
      <c r="BE36" s="73">
        <f t="shared" si="30"/>
      </c>
      <c r="BF36" s="73">
        <f t="shared" si="31"/>
      </c>
      <c r="BG36" s="73">
        <f t="shared" si="32"/>
      </c>
      <c r="BH36" s="73">
        <f t="shared" si="33"/>
      </c>
      <c r="BI36" s="73">
        <f t="shared" si="96"/>
      </c>
      <c r="BJ36" s="73">
        <f t="shared" si="97"/>
      </c>
      <c r="BK36" s="40">
        <f t="shared" si="72"/>
      </c>
      <c r="BL36" s="40">
        <f t="shared" si="73"/>
      </c>
      <c r="BM36" s="40">
        <f t="shared" si="74"/>
      </c>
      <c r="BN36" s="40">
        <f t="shared" si="34"/>
      </c>
      <c r="BO36" s="40">
        <f t="shared" si="5"/>
      </c>
      <c r="BP36" s="40">
        <f t="shared" si="35"/>
      </c>
      <c r="BQ36" s="40">
        <f t="shared" si="36"/>
      </c>
      <c r="BR36" s="40">
        <f t="shared" si="37"/>
      </c>
      <c r="BS36" s="40">
        <f>IF(B36="","",100*($D$5-BR36)/$D$5)</f>
      </c>
      <c r="BT36" s="40">
        <f t="shared" si="38"/>
      </c>
      <c r="BU36" s="40">
        <f t="shared" si="39"/>
      </c>
      <c r="BV36" s="75">
        <f t="shared" si="40"/>
      </c>
      <c r="BW36" s="75">
        <f t="shared" si="41"/>
      </c>
      <c r="BX36" s="40">
        <f t="shared" si="6"/>
      </c>
      <c r="BY36" s="40">
        <f t="shared" si="42"/>
      </c>
      <c r="BZ36" s="61"/>
      <c r="CA36" s="73">
        <f t="shared" si="43"/>
      </c>
      <c r="CB36" s="84"/>
      <c r="CC36" s="73">
        <f t="shared" si="44"/>
      </c>
      <c r="CD36" s="73">
        <f t="shared" si="85"/>
      </c>
      <c r="CE36" s="73">
        <f t="shared" si="86"/>
      </c>
      <c r="CF36" s="73">
        <f t="shared" si="87"/>
      </c>
      <c r="CG36" s="73">
        <f t="shared" si="48"/>
      </c>
      <c r="CH36" s="73">
        <f t="shared" si="49"/>
      </c>
      <c r="CI36" s="73">
        <f t="shared" si="50"/>
      </c>
      <c r="CJ36" s="76">
        <f t="shared" si="51"/>
      </c>
      <c r="CK36" s="76">
        <f t="shared" si="76"/>
      </c>
      <c r="CL36" s="76">
        <f t="shared" si="77"/>
      </c>
      <c r="CM36" s="76">
        <f t="shared" si="78"/>
      </c>
      <c r="CN36" s="40">
        <f t="shared" si="7"/>
      </c>
      <c r="CO36" s="40">
        <f t="shared" si="88"/>
      </c>
      <c r="CP36" s="40">
        <f t="shared" si="89"/>
      </c>
      <c r="CQ36" s="40">
        <f t="shared" si="90"/>
      </c>
      <c r="CR36" s="40">
        <f t="shared" si="91"/>
      </c>
      <c r="CS36" s="40">
        <f t="shared" si="81"/>
      </c>
      <c r="CT36" s="40">
        <f t="shared" si="55"/>
      </c>
      <c r="CU36" s="40">
        <f t="shared" si="93"/>
      </c>
      <c r="CV36" s="40">
        <f t="shared" si="94"/>
      </c>
      <c r="CW36" s="40">
        <f t="shared" si="95"/>
      </c>
      <c r="CX36" s="40">
        <f t="shared" si="82"/>
      </c>
      <c r="CY36" s="40">
        <f t="shared" si="83"/>
      </c>
      <c r="CZ36" s="40">
        <f t="shared" si="92"/>
      </c>
      <c r="DA36" s="40">
        <f t="shared" si="60"/>
      </c>
    </row>
    <row r="37" spans="1:105" ht="12.75">
      <c r="A37" s="61"/>
      <c r="B37" s="61"/>
      <c r="C37" s="61"/>
      <c r="D37" s="61"/>
      <c r="E37" s="61"/>
      <c r="F37" s="61"/>
      <c r="G37" s="61"/>
      <c r="H37" s="120"/>
      <c r="I37" s="61"/>
      <c r="J37" s="61"/>
      <c r="K37" s="61"/>
      <c r="L37" s="61"/>
      <c r="M37" s="61"/>
      <c r="N37" s="61"/>
      <c r="O37" s="61"/>
      <c r="P37" s="61"/>
      <c r="Q37" s="120"/>
      <c r="R37" s="120"/>
      <c r="S37" s="120"/>
      <c r="T37" s="120"/>
      <c r="U37" s="72">
        <f t="shared" si="84"/>
      </c>
      <c r="V37" s="72">
        <f t="shared" si="12"/>
      </c>
      <c r="W37" s="73">
        <f t="shared" si="13"/>
      </c>
      <c r="X37" s="72">
        <f t="shared" si="14"/>
      </c>
      <c r="Y37" s="72">
        <f t="shared" si="15"/>
      </c>
      <c r="Z37" s="72">
        <f t="shared" si="16"/>
      </c>
      <c r="AA37" s="72">
        <f t="shared" si="17"/>
      </c>
      <c r="AB37" s="72">
        <f t="shared" si="18"/>
      </c>
      <c r="AC37" s="72">
        <f t="shared" si="19"/>
      </c>
      <c r="AD37" s="74">
        <f t="shared" si="20"/>
      </c>
      <c r="AE37" s="73">
        <f t="shared" si="61"/>
      </c>
      <c r="AF37" s="40">
        <f t="shared" si="62"/>
      </c>
      <c r="AG37" s="40">
        <f>IF(B37="","",100*AF37/$D$6)</f>
      </c>
      <c r="AH37" s="40">
        <f t="shared" si="22"/>
      </c>
      <c r="AI37" s="270">
        <f t="shared" si="23"/>
      </c>
      <c r="AJ37" s="40">
        <f>IF($B37="","",I37*IF($G$14="Sí",IF(OR($D37="R",$D37="RST"),IF($D$2="Sí",IF($G37="Motor",$D$6*$W37/(BB37^2),$W37/$D$6)*($AV37*$F37+$AW37*SIN(ACOS($F37))),$W37*$F37))+SUMIF(INICIO,$B37,R_RE),0))</f>
      </c>
      <c r="AK37" s="40">
        <f>IF(B37="","",I37*IF($G$14="Sí",IF(OR($D37="R",$D37="RST"),IF($D$2="Sí",IF($G37="Motor",$D$6*$W37/(BB37^2),$W37/$D$6)*($AW37*$F37-$AV37*SIN(ACOS($F37))),-$W37*SIN(ACOS($F37))))+SUMIF(INICIO,$B37,R_IM),0))</f>
      </c>
      <c r="AL37" s="273">
        <f t="shared" si="24"/>
      </c>
      <c r="AM37" s="40">
        <f>IF(B37="","",I37*IF($H$14="Sí",IF(OR($D37="S",$D37="RST"),IF($D$2="Sí",IF($G37="Motor",$D$6*$W37/(BC37^2),$W37/$D$6)*($AX37*$F37+$AY37*SIN(ACOS($F37))),-$W37*$F37/2-SQRT(3)/2*$W37*SIN(ACOS($F37))))+SUMIF(INICIO,$B37,S_RE),0))</f>
      </c>
      <c r="AN37" s="40">
        <f>IF(B37="","",I37*IF($H$14="Sí",IF(OR($D37="S",$D37="RST"),IF($D$2="Sí",IF($G37="Motor",$D$6*$W37/(BC37^2),$W37/$D$6)*($AY37*$F37-$AX37*SIN(ACOS($F37))),-SQRT(3)/2*$W37*$F37+0.5*$W37*SIN(ACOS($F37))))+SUMIF(INICIO,$B37,S_IM),0))</f>
      </c>
      <c r="AO37" s="273">
        <f t="shared" si="25"/>
      </c>
      <c r="AP37" s="40">
        <f>IF(B37="","",I37*IF($I$14="Sí",IF(OR($D37="T",$D37="RST"),IF($D$2="Sí",IF($G37="Motor",$D$6*$W37/(BD37^2),$W37/$D$6)*($AZ37*$F37+$BA37*SIN(ACOS($F37))),-$W37*$F37/2+SQRT(3)/2*$W37*SIN(ACOS($F37))))+SUMIF(INICIO,$B37,T_RE),0))</f>
      </c>
      <c r="AQ37" s="272">
        <f>IF(B37="","",I37*IF($I$14="Sí",IF(OR($D37="T",$D37="RST"),IF($D$2="Sí",IF($G37="Motor",$D$6*$W37/(BD37^2),$W37/$D$6)*($BA37*$F37-$AZ37*SIN(ACOS($F37))),SQRT(3)/2*$W37*$F37+0.5*$W37*SIN(ACOS($F37))))+SUMIF(INICIO,$B37,T_IM),0))</f>
      </c>
      <c r="AR37" s="40">
        <f t="shared" si="26"/>
      </c>
      <c r="AS37" s="40">
        <f t="shared" si="27"/>
      </c>
      <c r="AT37" s="40">
        <f t="shared" si="28"/>
      </c>
      <c r="AU37" s="40">
        <f t="shared" si="29"/>
      </c>
      <c r="AV37" s="73">
        <f t="shared" si="63"/>
      </c>
      <c r="AW37" s="73">
        <f t="shared" si="64"/>
      </c>
      <c r="AX37" s="73">
        <f t="shared" si="65"/>
      </c>
      <c r="AY37" s="73">
        <f t="shared" si="66"/>
      </c>
      <c r="AZ37" s="73">
        <f t="shared" si="67"/>
      </c>
      <c r="BA37" s="73">
        <f t="shared" si="68"/>
      </c>
      <c r="BB37" s="73">
        <f t="shared" si="69"/>
      </c>
      <c r="BC37" s="73">
        <f t="shared" si="70"/>
      </c>
      <c r="BD37" s="73">
        <f t="shared" si="71"/>
      </c>
      <c r="BE37" s="73">
        <f t="shared" si="30"/>
      </c>
      <c r="BF37" s="73">
        <f t="shared" si="31"/>
      </c>
      <c r="BG37" s="73">
        <f t="shared" si="32"/>
      </c>
      <c r="BH37" s="73">
        <f t="shared" si="33"/>
      </c>
      <c r="BI37" s="73">
        <f t="shared" si="96"/>
      </c>
      <c r="BJ37" s="73">
        <f t="shared" si="97"/>
      </c>
      <c r="BK37" s="40">
        <f t="shared" si="72"/>
      </c>
      <c r="BL37" s="40">
        <f t="shared" si="73"/>
      </c>
      <c r="BM37" s="40">
        <f t="shared" si="74"/>
      </c>
      <c r="BN37" s="40">
        <f t="shared" si="34"/>
      </c>
      <c r="BO37" s="40">
        <f t="shared" si="5"/>
      </c>
      <c r="BP37" s="40">
        <f t="shared" si="35"/>
      </c>
      <c r="BQ37" s="40">
        <f t="shared" si="36"/>
      </c>
      <c r="BR37" s="40">
        <f t="shared" si="37"/>
      </c>
      <c r="BS37" s="40">
        <f t="shared" si="75"/>
      </c>
      <c r="BT37" s="40">
        <f t="shared" si="38"/>
      </c>
      <c r="BU37" s="40">
        <f t="shared" si="39"/>
      </c>
      <c r="BV37" s="75">
        <f t="shared" si="40"/>
      </c>
      <c r="BW37" s="75">
        <f t="shared" si="41"/>
      </c>
      <c r="BX37" s="40">
        <f t="shared" si="6"/>
      </c>
      <c r="BY37" s="40">
        <f t="shared" si="42"/>
      </c>
      <c r="BZ37" s="61"/>
      <c r="CA37" s="73">
        <f t="shared" si="43"/>
      </c>
      <c r="CB37" s="84"/>
      <c r="CC37" s="73">
        <f t="shared" si="44"/>
      </c>
      <c r="CD37" s="73">
        <f t="shared" si="85"/>
      </c>
      <c r="CE37" s="73">
        <f t="shared" si="86"/>
      </c>
      <c r="CF37" s="73">
        <f t="shared" si="87"/>
      </c>
      <c r="CG37" s="73">
        <f t="shared" si="48"/>
      </c>
      <c r="CH37" s="73">
        <f t="shared" si="49"/>
      </c>
      <c r="CI37" s="73">
        <f t="shared" si="50"/>
      </c>
      <c r="CJ37" s="76">
        <f t="shared" si="51"/>
      </c>
      <c r="CK37" s="76">
        <f t="shared" si="76"/>
      </c>
      <c r="CL37" s="76">
        <f t="shared" si="77"/>
      </c>
      <c r="CM37" s="76">
        <f t="shared" si="78"/>
      </c>
      <c r="CN37" s="40">
        <f t="shared" si="7"/>
      </c>
      <c r="CO37" s="40">
        <f t="shared" si="88"/>
      </c>
      <c r="CP37" s="40">
        <f t="shared" si="89"/>
      </c>
      <c r="CQ37" s="40">
        <f t="shared" si="90"/>
      </c>
      <c r="CR37" s="40">
        <f t="shared" si="91"/>
      </c>
      <c r="CS37" s="40">
        <f t="shared" si="81"/>
      </c>
      <c r="CT37" s="40">
        <f t="shared" si="55"/>
      </c>
      <c r="CU37" s="40">
        <f t="shared" si="93"/>
      </c>
      <c r="CV37" s="40">
        <f t="shared" si="94"/>
      </c>
      <c r="CW37" s="40">
        <f t="shared" si="95"/>
      </c>
      <c r="CX37" s="40">
        <f t="shared" si="82"/>
      </c>
      <c r="CY37" s="40">
        <f t="shared" si="83"/>
      </c>
      <c r="CZ37" s="40">
        <f t="shared" si="92"/>
      </c>
      <c r="DA37" s="40">
        <f t="shared" si="60"/>
      </c>
    </row>
    <row r="38" spans="1:105" ht="12.75">
      <c r="A38" s="61"/>
      <c r="B38" s="61"/>
      <c r="C38" s="61"/>
      <c r="D38" s="61"/>
      <c r="E38" s="61"/>
      <c r="F38" s="61"/>
      <c r="G38" s="61"/>
      <c r="H38" s="120"/>
      <c r="I38" s="61"/>
      <c r="J38" s="61"/>
      <c r="K38" s="61"/>
      <c r="L38" s="61"/>
      <c r="M38" s="61"/>
      <c r="N38" s="61"/>
      <c r="O38" s="61"/>
      <c r="P38" s="61"/>
      <c r="Q38" s="120"/>
      <c r="R38" s="120"/>
      <c r="S38" s="120"/>
      <c r="T38" s="120"/>
      <c r="U38" s="72">
        <f t="shared" si="84"/>
      </c>
      <c r="V38" s="72">
        <f t="shared" si="12"/>
      </c>
      <c r="W38" s="73">
        <f t="shared" si="13"/>
      </c>
      <c r="X38" s="72">
        <f t="shared" si="14"/>
      </c>
      <c r="Y38" s="72">
        <f t="shared" si="15"/>
      </c>
      <c r="Z38" s="72">
        <f t="shared" si="16"/>
      </c>
      <c r="AA38" s="72">
        <f t="shared" si="17"/>
      </c>
      <c r="AB38" s="72">
        <f t="shared" si="18"/>
      </c>
      <c r="AC38" s="72">
        <f t="shared" si="19"/>
      </c>
      <c r="AD38" s="74">
        <f t="shared" si="20"/>
      </c>
      <c r="AE38" s="73">
        <f t="shared" si="61"/>
      </c>
      <c r="AF38" s="40">
        <f t="shared" si="62"/>
      </c>
      <c r="AG38" s="40">
        <f aca="true" t="shared" si="98" ref="AG38:AG100">IF(B38="","",100*AF38/$D$6)</f>
      </c>
      <c r="AH38" s="40">
        <f t="shared" si="22"/>
      </c>
      <c r="AI38" s="270">
        <f t="shared" si="23"/>
      </c>
      <c r="AJ38" s="40">
        <f>IF($B38="","",I38*IF($G$14="Sí",IF(OR($D38="R",$D38="RST"),IF($D$2="Sí",IF($G38="Motor",$D$6*$W38/(BB38^2),$W38/$D$6)*($AV38*$F38+$AW38*SIN(ACOS($F38))),$W38*$F38))+SUMIF(INICIO,$B38,R_RE),0))</f>
      </c>
      <c r="AK38" s="40">
        <f>IF(B38="","",I38*IF($G$14="Sí",IF(OR($D38="R",$D38="RST"),IF($D$2="Sí",IF($G38="Motor",$D$6*$W38/(BB38^2),$W38/$D$6)*($AW38*$F38-$AV38*SIN(ACOS($F38))),-$W38*SIN(ACOS($F38))))+SUMIF(INICIO,$B38,R_IM),0))</f>
      </c>
      <c r="AL38" s="273">
        <f t="shared" si="24"/>
      </c>
      <c r="AM38" s="40">
        <f>IF(B38="","",I38*IF($H$14="Sí",IF(OR($D38="S",$D38="RST"),IF($D$2="Sí",IF($G38="Motor",$D$6*$W38/(BC38^2),$W38/$D$6)*($AX38*$F38+$AY38*SIN(ACOS($F38))),-$W38*$F38/2-SQRT(3)/2*$W38*SIN(ACOS($F38))))+SUMIF(INICIO,$B38,S_RE),0))</f>
      </c>
      <c r="AN38" s="40">
        <f>IF(B38="","",I38*IF($H$14="Sí",IF(OR($D38="S",$D38="RST"),IF($D$2="Sí",IF($G38="Motor",$D$6*$W38/(BC38^2),$W38/$D$6)*($AY38*$F38-$AX38*SIN(ACOS($F38))),-SQRT(3)/2*$W38*$F38+0.5*$W38*SIN(ACOS($F38))))+SUMIF(INICIO,$B38,S_IM),0))</f>
      </c>
      <c r="AO38" s="273">
        <f t="shared" si="25"/>
      </c>
      <c r="AP38" s="40">
        <f>IF(B38="","",I38*IF($I$14="Sí",IF(OR($D38="T",$D38="RST"),IF($D$2="Sí",IF($G38="Motor",$D$6*$W38/(BD38^2),$W38/$D$6)*($AZ38*$F38+$BA38*SIN(ACOS($F38))),-$W38*$F38/2+SQRT(3)/2*$W38*SIN(ACOS($F38))))+SUMIF(INICIO,$B38,T_RE),0))</f>
      </c>
      <c r="AQ38" s="272">
        <f>IF(B38="","",I38*IF($I$14="Sí",IF(OR($D38="T",$D38="RST"),IF($D$2="Sí",IF($G38="Motor",$D$6*$W38/(BD38^2),$W38/$D$6)*($BA38*$F38-$AZ38*SIN(ACOS($F38))),SQRT(3)/2*$W38*$F38+0.5*$W38*SIN(ACOS($F38))))+SUMIF(INICIO,$B38,T_IM),0))</f>
      </c>
      <c r="AR38" s="40">
        <f t="shared" si="26"/>
      </c>
      <c r="AS38" s="40">
        <f t="shared" si="27"/>
      </c>
      <c r="AT38" s="40">
        <f t="shared" si="28"/>
      </c>
      <c r="AU38" s="40">
        <f t="shared" si="29"/>
      </c>
      <c r="AV38" s="73">
        <f t="shared" si="63"/>
      </c>
      <c r="AW38" s="73">
        <f t="shared" si="64"/>
      </c>
      <c r="AX38" s="73">
        <f t="shared" si="65"/>
      </c>
      <c r="AY38" s="73">
        <f t="shared" si="66"/>
      </c>
      <c r="AZ38" s="73">
        <f t="shared" si="67"/>
      </c>
      <c r="BA38" s="73">
        <f t="shared" si="68"/>
      </c>
      <c r="BB38" s="73">
        <f t="shared" si="69"/>
      </c>
      <c r="BC38" s="73">
        <f t="shared" si="70"/>
      </c>
      <c r="BD38" s="73">
        <f t="shared" si="71"/>
      </c>
      <c r="BE38" s="73">
        <f t="shared" si="30"/>
      </c>
      <c r="BF38" s="73">
        <f t="shared" si="31"/>
      </c>
      <c r="BG38" s="73">
        <f t="shared" si="32"/>
      </c>
      <c r="BH38" s="73">
        <f t="shared" si="33"/>
      </c>
      <c r="BI38" s="73">
        <f t="shared" si="96"/>
      </c>
      <c r="BJ38" s="73">
        <f t="shared" si="97"/>
      </c>
      <c r="BK38" s="40">
        <f t="shared" si="72"/>
      </c>
      <c r="BL38" s="40">
        <f t="shared" si="73"/>
      </c>
      <c r="BM38" s="40">
        <f t="shared" si="74"/>
      </c>
      <c r="BN38" s="40">
        <f t="shared" si="34"/>
      </c>
      <c r="BO38" s="40">
        <f t="shared" si="5"/>
      </c>
      <c r="BP38" s="40">
        <f t="shared" si="35"/>
      </c>
      <c r="BQ38" s="40">
        <f t="shared" si="36"/>
      </c>
      <c r="BR38" s="40">
        <f t="shared" si="37"/>
      </c>
      <c r="BS38" s="40">
        <f t="shared" si="75"/>
      </c>
      <c r="BT38" s="40">
        <f t="shared" si="38"/>
      </c>
      <c r="BU38" s="40">
        <f t="shared" si="39"/>
      </c>
      <c r="BV38" s="75">
        <f t="shared" si="40"/>
      </c>
      <c r="BW38" s="75">
        <f t="shared" si="41"/>
      </c>
      <c r="BX38" s="40">
        <f t="shared" si="6"/>
      </c>
      <c r="BY38" s="40">
        <f t="shared" si="42"/>
      </c>
      <c r="BZ38" s="61"/>
      <c r="CA38" s="73">
        <f t="shared" si="43"/>
      </c>
      <c r="CB38" s="84"/>
      <c r="CC38" s="73">
        <f t="shared" si="44"/>
      </c>
      <c r="CD38" s="73">
        <f t="shared" si="85"/>
      </c>
      <c r="CE38" s="73">
        <f t="shared" si="86"/>
      </c>
      <c r="CF38" s="73">
        <f t="shared" si="87"/>
      </c>
      <c r="CG38" s="73">
        <f t="shared" si="48"/>
      </c>
      <c r="CH38" s="73">
        <f t="shared" si="49"/>
      </c>
      <c r="CI38" s="73">
        <f t="shared" si="50"/>
      </c>
      <c r="CJ38" s="76">
        <f t="shared" si="51"/>
      </c>
      <c r="CK38" s="76">
        <f t="shared" si="76"/>
      </c>
      <c r="CL38" s="76">
        <f t="shared" si="77"/>
      </c>
      <c r="CM38" s="76">
        <f t="shared" si="78"/>
      </c>
      <c r="CN38" s="40">
        <f t="shared" si="7"/>
      </c>
      <c r="CO38" s="40">
        <f t="shared" si="88"/>
      </c>
      <c r="CP38" s="40">
        <f t="shared" si="89"/>
      </c>
      <c r="CQ38" s="40">
        <f t="shared" si="90"/>
      </c>
      <c r="CR38" s="40">
        <f t="shared" si="91"/>
      </c>
      <c r="CS38" s="40">
        <f t="shared" si="81"/>
      </c>
      <c r="CT38" s="40">
        <f t="shared" si="55"/>
      </c>
      <c r="CU38" s="40">
        <f t="shared" si="93"/>
      </c>
      <c r="CV38" s="40">
        <f t="shared" si="94"/>
      </c>
      <c r="CW38" s="40">
        <f t="shared" si="95"/>
      </c>
      <c r="CX38" s="40">
        <f t="shared" si="82"/>
      </c>
      <c r="CY38" s="40">
        <f t="shared" si="83"/>
      </c>
      <c r="CZ38" s="40">
        <f t="shared" si="92"/>
      </c>
      <c r="DA38" s="40">
        <f t="shared" si="60"/>
      </c>
    </row>
    <row r="39" spans="1:105" ht="12.75">
      <c r="A39" s="61"/>
      <c r="B39" s="61"/>
      <c r="C39" s="61"/>
      <c r="D39" s="61"/>
      <c r="E39" s="61"/>
      <c r="F39" s="61"/>
      <c r="G39" s="61"/>
      <c r="H39" s="120"/>
      <c r="I39" s="61"/>
      <c r="J39" s="61"/>
      <c r="K39" s="61"/>
      <c r="L39" s="61"/>
      <c r="M39" s="61"/>
      <c r="N39" s="61"/>
      <c r="O39" s="61"/>
      <c r="P39" s="61"/>
      <c r="Q39" s="120"/>
      <c r="R39" s="120"/>
      <c r="S39" s="120"/>
      <c r="T39" s="120"/>
      <c r="U39" s="72">
        <f t="shared" si="84"/>
      </c>
      <c r="V39" s="72">
        <f t="shared" si="12"/>
      </c>
      <c r="W39" s="73">
        <f t="shared" si="13"/>
      </c>
      <c r="X39" s="72">
        <f t="shared" si="14"/>
      </c>
      <c r="Y39" s="72">
        <f t="shared" si="15"/>
      </c>
      <c r="Z39" s="72">
        <f t="shared" si="16"/>
      </c>
      <c r="AA39" s="72">
        <f t="shared" si="17"/>
      </c>
      <c r="AB39" s="72">
        <f t="shared" si="18"/>
      </c>
      <c r="AC39" s="72">
        <f t="shared" si="19"/>
      </c>
      <c r="AD39" s="74">
        <f t="shared" si="20"/>
      </c>
      <c r="AE39" s="73">
        <f t="shared" si="61"/>
      </c>
      <c r="AF39" s="40">
        <f t="shared" si="62"/>
      </c>
      <c r="AG39" s="40">
        <f>IF(B39="","",100*AF39/$D$6)</f>
      </c>
      <c r="AH39" s="40">
        <f t="shared" si="22"/>
      </c>
      <c r="AI39" s="270">
        <f t="shared" si="23"/>
      </c>
      <c r="AJ39" s="40">
        <f>IF($B39="","",I39*IF($G$14="Sí",IF(OR($D39="R",$D39="RST"),IF($D$2="Sí",IF($G39="Motor",$D$6*$W39/(BB39^2),$W39/$D$6)*($AV39*$F39+$AW39*SIN(ACOS($F39))),$W39*$F39))+SUMIF(INICIO,$B39,R_RE),0))</f>
      </c>
      <c r="AK39" s="40">
        <f>IF(B39="","",I39*IF($G$14="Sí",IF(OR($D39="R",$D39="RST"),IF($D$2="Sí",IF($G39="Motor",$D$6*$W39/(BB39^2),$W39/$D$6)*($AW39*$F39-$AV39*SIN(ACOS($F39))),-$W39*SIN(ACOS($F39))))+SUMIF(INICIO,$B39,R_IM),0))</f>
      </c>
      <c r="AL39" s="273">
        <f t="shared" si="24"/>
      </c>
      <c r="AM39" s="40">
        <f>IF(B39="","",I39*IF($H$14="Sí",IF(OR($D39="S",$D39="RST"),IF($D$2="Sí",IF($G39="Motor",$D$6*$W39/(BC39^2),$W39/$D$6)*($AX39*$F39+$AY39*SIN(ACOS($F39))),-$W39*$F39/2-SQRT(3)/2*$W39*SIN(ACOS($F39))))+SUMIF(INICIO,$B39,S_RE),0))</f>
      </c>
      <c r="AN39" s="40">
        <f>IF(B39="","",I39*IF($H$14="Sí",IF(OR($D39="S",$D39="RST"),IF($D$2="Sí",IF($G39="Motor",$D$6*$W39/(BC39^2),$W39/$D$6)*($AY39*$F39-$AX39*SIN(ACOS($F39))),-SQRT(3)/2*$W39*$F39+0.5*$W39*SIN(ACOS($F39))))+SUMIF(INICIO,$B39,S_IM),0))</f>
      </c>
      <c r="AO39" s="273">
        <f t="shared" si="25"/>
      </c>
      <c r="AP39" s="40">
        <f>IF(B39="","",I39*IF($I$14="Sí",IF(OR($D39="T",$D39="RST"),IF($D$2="Sí",IF($G39="Motor",$D$6*$W39/(BD39^2),$W39/$D$6)*($AZ39*$F39+$BA39*SIN(ACOS($F39))),-$W39*$F39/2+SQRT(3)/2*$W39*SIN(ACOS($F39))))+SUMIF(INICIO,$B39,T_RE),0))</f>
      </c>
      <c r="AQ39" s="272">
        <f>IF(B39="","",I39*IF($I$14="Sí",IF(OR($D39="T",$D39="RST"),IF($D$2="Sí",IF($G39="Motor",$D$6*$W39/(BD39^2),$W39/$D$6)*($BA39*$F39-$AZ39*SIN(ACOS($F39))),SQRT(3)/2*$W39*$F39+0.5*$W39*SIN(ACOS($F39))))+SUMIF(INICIO,$B39,T_IM),0))</f>
      </c>
      <c r="AR39" s="40">
        <f t="shared" si="26"/>
      </c>
      <c r="AS39" s="40">
        <f t="shared" si="27"/>
      </c>
      <c r="AT39" s="40">
        <f t="shared" si="28"/>
      </c>
      <c r="AU39" s="40">
        <f t="shared" si="29"/>
      </c>
      <c r="AV39" s="73">
        <f t="shared" si="63"/>
      </c>
      <c r="AW39" s="73">
        <f t="shared" si="64"/>
      </c>
      <c r="AX39" s="73">
        <f t="shared" si="65"/>
      </c>
      <c r="AY39" s="73">
        <f t="shared" si="66"/>
      </c>
      <c r="AZ39" s="73">
        <f t="shared" si="67"/>
      </c>
      <c r="BA39" s="73">
        <f t="shared" si="68"/>
      </c>
      <c r="BB39" s="73">
        <f t="shared" si="69"/>
      </c>
      <c r="BC39" s="73">
        <f t="shared" si="70"/>
      </c>
      <c r="BD39" s="73">
        <f t="shared" si="71"/>
      </c>
      <c r="BE39" s="73">
        <f t="shared" si="30"/>
      </c>
      <c r="BF39" s="73">
        <f t="shared" si="31"/>
      </c>
      <c r="BG39" s="73">
        <f t="shared" si="32"/>
      </c>
      <c r="BH39" s="73">
        <f t="shared" si="33"/>
      </c>
      <c r="BI39" s="73">
        <f t="shared" si="96"/>
      </c>
      <c r="BJ39" s="73">
        <f t="shared" si="97"/>
      </c>
      <c r="BK39" s="40">
        <f t="shared" si="72"/>
      </c>
      <c r="BL39" s="40">
        <f t="shared" si="73"/>
      </c>
      <c r="BM39" s="40">
        <f t="shared" si="74"/>
      </c>
      <c r="BN39" s="40">
        <f t="shared" si="34"/>
      </c>
      <c r="BO39" s="40">
        <f t="shared" si="5"/>
      </c>
      <c r="BP39" s="40">
        <f t="shared" si="35"/>
      </c>
      <c r="BQ39" s="40">
        <f t="shared" si="36"/>
      </c>
      <c r="BR39" s="40">
        <f t="shared" si="37"/>
      </c>
      <c r="BS39" s="40">
        <f t="shared" si="75"/>
      </c>
      <c r="BT39" s="40">
        <f t="shared" si="38"/>
      </c>
      <c r="BU39" s="40">
        <f t="shared" si="39"/>
      </c>
      <c r="BV39" s="75">
        <f t="shared" si="40"/>
      </c>
      <c r="BW39" s="75">
        <f t="shared" si="41"/>
      </c>
      <c r="BX39" s="40">
        <f t="shared" si="6"/>
      </c>
      <c r="BY39" s="40">
        <f t="shared" si="42"/>
      </c>
      <c r="BZ39" s="61"/>
      <c r="CA39" s="73">
        <f t="shared" si="43"/>
      </c>
      <c r="CB39" s="84"/>
      <c r="CC39" s="73">
        <f t="shared" si="44"/>
      </c>
      <c r="CD39" s="73">
        <f t="shared" si="85"/>
      </c>
      <c r="CE39" s="73">
        <f t="shared" si="86"/>
      </c>
      <c r="CF39" s="73">
        <f t="shared" si="87"/>
      </c>
      <c r="CG39" s="73">
        <f t="shared" si="48"/>
      </c>
      <c r="CH39" s="73">
        <f t="shared" si="49"/>
      </c>
      <c r="CI39" s="73">
        <f t="shared" si="50"/>
      </c>
      <c r="CJ39" s="76">
        <f t="shared" si="51"/>
      </c>
      <c r="CK39" s="76">
        <f t="shared" si="76"/>
      </c>
      <c r="CL39" s="76">
        <f t="shared" si="77"/>
      </c>
      <c r="CM39" s="76">
        <f t="shared" si="78"/>
      </c>
      <c r="CN39" s="40">
        <f t="shared" si="7"/>
      </c>
      <c r="CO39" s="40">
        <f t="shared" si="88"/>
      </c>
      <c r="CP39" s="40">
        <f t="shared" si="89"/>
      </c>
      <c r="CQ39" s="40">
        <f t="shared" si="90"/>
      </c>
      <c r="CR39" s="40">
        <f t="shared" si="91"/>
      </c>
      <c r="CS39" s="40">
        <f t="shared" si="81"/>
      </c>
      <c r="CT39" s="40">
        <f t="shared" si="55"/>
      </c>
      <c r="CU39" s="40">
        <f t="shared" si="93"/>
      </c>
      <c r="CV39" s="40">
        <f t="shared" si="94"/>
      </c>
      <c r="CW39" s="40">
        <f t="shared" si="95"/>
      </c>
      <c r="CX39" s="40">
        <f t="shared" si="82"/>
      </c>
      <c r="CY39" s="40">
        <f t="shared" si="83"/>
      </c>
      <c r="CZ39" s="40">
        <f t="shared" si="92"/>
      </c>
      <c r="DA39" s="40">
        <f t="shared" si="60"/>
      </c>
    </row>
    <row r="40" spans="1:105" ht="12.75">
      <c r="A40" s="61"/>
      <c r="B40" s="61"/>
      <c r="C40" s="61"/>
      <c r="D40" s="61"/>
      <c r="E40" s="61"/>
      <c r="F40" s="61"/>
      <c r="G40" s="61"/>
      <c r="H40" s="120"/>
      <c r="I40" s="61"/>
      <c r="J40" s="61"/>
      <c r="K40" s="61"/>
      <c r="L40" s="61"/>
      <c r="M40" s="61"/>
      <c r="N40" s="61"/>
      <c r="O40" s="61"/>
      <c r="P40" s="61"/>
      <c r="Q40" s="120"/>
      <c r="R40" s="120"/>
      <c r="S40" s="120"/>
      <c r="T40" s="120"/>
      <c r="U40" s="72">
        <f t="shared" si="84"/>
      </c>
      <c r="V40" s="72">
        <f t="shared" si="12"/>
      </c>
      <c r="W40" s="73">
        <f t="shared" si="13"/>
      </c>
      <c r="X40" s="72">
        <f t="shared" si="14"/>
      </c>
      <c r="Y40" s="72">
        <f t="shared" si="15"/>
      </c>
      <c r="Z40" s="72">
        <f t="shared" si="16"/>
      </c>
      <c r="AA40" s="72">
        <f t="shared" si="17"/>
      </c>
      <c r="AB40" s="72">
        <f t="shared" si="18"/>
      </c>
      <c r="AC40" s="72">
        <f t="shared" si="19"/>
      </c>
      <c r="AD40" s="74">
        <f t="shared" si="20"/>
      </c>
      <c r="AE40" s="73">
        <f t="shared" si="61"/>
      </c>
      <c r="AF40" s="40">
        <f t="shared" si="62"/>
      </c>
      <c r="AG40" s="40">
        <f t="shared" si="98"/>
      </c>
      <c r="AH40" s="40">
        <f t="shared" si="22"/>
      </c>
      <c r="AI40" s="270">
        <f t="shared" si="23"/>
      </c>
      <c r="AJ40" s="40">
        <f>IF($B40="","",I40*IF($G$14="Sí",IF(OR($D40="R",$D40="RST"),IF($D$2="Sí",IF($G40="Motor",$D$6*$W40/(BB40^2),$W40/$D$6)*($AV40*$F40+$AW40*SIN(ACOS($F40))),$W40*$F40))+SUMIF(INICIO,$B40,R_RE),0))</f>
      </c>
      <c r="AK40" s="40">
        <f>IF(B40="","",I40*IF($G$14="Sí",IF(OR($D40="R",$D40="RST"),IF($D$2="Sí",IF($G40="Motor",$D$6*$W40/(BB40^2),$W40/$D$6)*($AW40*$F40-$AV40*SIN(ACOS($F40))),-$W40*SIN(ACOS($F40))))+SUMIF(INICIO,$B40,R_IM),0))</f>
      </c>
      <c r="AL40" s="273">
        <f t="shared" si="24"/>
      </c>
      <c r="AM40" s="40">
        <f>IF(B40="","",I40*IF($H$14="Sí",IF(OR($D40="S",$D40="RST"),IF($D$2="Sí",IF($G40="Motor",$D$6*$W40/(BC40^2),$W40/$D$6)*($AX40*$F40+$AY40*SIN(ACOS($F40))),-$W40*$F40/2-SQRT(3)/2*$W40*SIN(ACOS($F40))))+SUMIF(INICIO,$B40,S_RE),0))</f>
      </c>
      <c r="AN40" s="40">
        <f>IF(B40="","",I40*IF($H$14="Sí",IF(OR($D40="S",$D40="RST"),IF($D$2="Sí",IF($G40="Motor",$D$6*$W40/(BC40^2),$W40/$D$6)*($AY40*$F40-$AX40*SIN(ACOS($F40))),-SQRT(3)/2*$W40*$F40+0.5*$W40*SIN(ACOS($F40))))+SUMIF(INICIO,$B40,S_IM),0))</f>
      </c>
      <c r="AO40" s="273">
        <f t="shared" si="25"/>
      </c>
      <c r="AP40" s="40">
        <f>IF(B40="","",I40*IF($I$14="Sí",IF(OR($D40="T",$D40="RST"),IF($D$2="Sí",IF($G40="Motor",$D$6*$W40/(BD40^2),$W40/$D$6)*($AZ40*$F40+$BA40*SIN(ACOS($F40))),-$W40*$F40/2+SQRT(3)/2*$W40*SIN(ACOS($F40))))+SUMIF(INICIO,$B40,T_RE),0))</f>
      </c>
      <c r="AQ40" s="272">
        <f>IF(B40="","",I40*IF($I$14="Sí",IF(OR($D40="T",$D40="RST"),IF($D$2="Sí",IF($G40="Motor",$D$6*$W40/(BD40^2),$W40/$D$6)*($BA40*$F40-$AZ40*SIN(ACOS($F40))),SQRT(3)/2*$W40*$F40+0.5*$W40*SIN(ACOS($F40))))+SUMIF(INICIO,$B40,T_IM),0))</f>
      </c>
      <c r="AR40" s="40">
        <f t="shared" si="26"/>
      </c>
      <c r="AS40" s="40">
        <f t="shared" si="27"/>
      </c>
      <c r="AT40" s="40">
        <f t="shared" si="28"/>
      </c>
      <c r="AU40" s="40">
        <f t="shared" si="29"/>
      </c>
      <c r="AV40" s="73">
        <f t="shared" si="63"/>
      </c>
      <c r="AW40" s="73">
        <f t="shared" si="64"/>
      </c>
      <c r="AX40" s="73">
        <f t="shared" si="65"/>
      </c>
      <c r="AY40" s="73">
        <f t="shared" si="66"/>
      </c>
      <c r="AZ40" s="73">
        <f t="shared" si="67"/>
      </c>
      <c r="BA40" s="73">
        <f t="shared" si="68"/>
      </c>
      <c r="BB40" s="73">
        <f t="shared" si="69"/>
      </c>
      <c r="BC40" s="73">
        <f t="shared" si="70"/>
      </c>
      <c r="BD40" s="73">
        <f t="shared" si="71"/>
      </c>
      <c r="BE40" s="73">
        <f t="shared" si="30"/>
      </c>
      <c r="BF40" s="73">
        <f t="shared" si="31"/>
      </c>
      <c r="BG40" s="73">
        <f t="shared" si="32"/>
      </c>
      <c r="BH40" s="73">
        <f t="shared" si="33"/>
      </c>
      <c r="BI40" s="73">
        <f t="shared" si="96"/>
      </c>
      <c r="BJ40" s="73">
        <f t="shared" si="97"/>
      </c>
      <c r="BK40" s="40">
        <f t="shared" si="72"/>
      </c>
      <c r="BL40" s="40">
        <f t="shared" si="73"/>
      </c>
      <c r="BM40" s="40">
        <f t="shared" si="74"/>
      </c>
      <c r="BN40" s="40">
        <f t="shared" si="34"/>
      </c>
      <c r="BO40" s="40">
        <f t="shared" si="5"/>
      </c>
      <c r="BP40" s="40">
        <f t="shared" si="35"/>
      </c>
      <c r="BQ40" s="40">
        <f t="shared" si="36"/>
      </c>
      <c r="BR40" s="40">
        <f t="shared" si="37"/>
      </c>
      <c r="BS40" s="40">
        <f t="shared" si="75"/>
      </c>
      <c r="BT40" s="40">
        <f t="shared" si="38"/>
      </c>
      <c r="BU40" s="40">
        <f t="shared" si="39"/>
      </c>
      <c r="BV40" s="75">
        <f t="shared" si="40"/>
      </c>
      <c r="BW40" s="75">
        <f t="shared" si="41"/>
      </c>
      <c r="BX40" s="40">
        <f t="shared" si="6"/>
      </c>
      <c r="BY40" s="40">
        <f t="shared" si="42"/>
      </c>
      <c r="BZ40" s="61"/>
      <c r="CA40" s="73">
        <f t="shared" si="43"/>
      </c>
      <c r="CB40" s="84"/>
      <c r="CC40" s="73">
        <f t="shared" si="44"/>
      </c>
      <c r="CD40" s="73">
        <f t="shared" si="85"/>
      </c>
      <c r="CE40" s="73">
        <f t="shared" si="86"/>
      </c>
      <c r="CF40" s="73">
        <f t="shared" si="87"/>
      </c>
      <c r="CG40" s="73">
        <f t="shared" si="48"/>
      </c>
      <c r="CH40" s="73">
        <f t="shared" si="49"/>
      </c>
      <c r="CI40" s="73">
        <f t="shared" si="50"/>
      </c>
      <c r="CJ40" s="76">
        <f t="shared" si="51"/>
      </c>
      <c r="CK40" s="76">
        <f t="shared" si="76"/>
      </c>
      <c r="CL40" s="76">
        <f t="shared" si="77"/>
      </c>
      <c r="CM40" s="76">
        <f t="shared" si="78"/>
      </c>
      <c r="CN40" s="40">
        <f t="shared" si="7"/>
      </c>
      <c r="CO40" s="40">
        <f t="shared" si="88"/>
      </c>
      <c r="CP40" s="40">
        <f t="shared" si="89"/>
      </c>
      <c r="CQ40" s="40">
        <f t="shared" si="90"/>
      </c>
      <c r="CR40" s="40">
        <f t="shared" si="91"/>
      </c>
      <c r="CS40" s="40">
        <f t="shared" si="81"/>
      </c>
      <c r="CT40" s="40">
        <f t="shared" si="55"/>
      </c>
      <c r="CU40" s="40">
        <f t="shared" si="93"/>
      </c>
      <c r="CV40" s="40">
        <f t="shared" si="94"/>
      </c>
      <c r="CW40" s="40">
        <f t="shared" si="95"/>
      </c>
      <c r="CX40" s="40">
        <f t="shared" si="82"/>
      </c>
      <c r="CY40" s="40">
        <f t="shared" si="83"/>
      </c>
      <c r="CZ40" s="40">
        <f t="shared" si="92"/>
      </c>
      <c r="DA40" s="40">
        <f t="shared" si="60"/>
      </c>
    </row>
    <row r="41" spans="1:105" ht="12.75">
      <c r="A41" s="61"/>
      <c r="B41" s="61"/>
      <c r="C41" s="61"/>
      <c r="D41" s="61"/>
      <c r="E41" s="61"/>
      <c r="F41" s="61"/>
      <c r="G41" s="61"/>
      <c r="H41" s="120"/>
      <c r="I41" s="61"/>
      <c r="J41" s="61"/>
      <c r="K41" s="61"/>
      <c r="L41" s="61"/>
      <c r="M41" s="61"/>
      <c r="N41" s="61"/>
      <c r="O41" s="61"/>
      <c r="P41" s="61"/>
      <c r="Q41" s="120"/>
      <c r="R41" s="120"/>
      <c r="S41" s="120"/>
      <c r="T41" s="120"/>
      <c r="U41" s="72">
        <f t="shared" si="84"/>
      </c>
      <c r="V41" s="72">
        <f t="shared" si="12"/>
      </c>
      <c r="W41" s="73">
        <f t="shared" si="13"/>
      </c>
      <c r="X41" s="72">
        <f t="shared" si="14"/>
      </c>
      <c r="Y41" s="72">
        <f t="shared" si="15"/>
      </c>
      <c r="Z41" s="72">
        <f t="shared" si="16"/>
      </c>
      <c r="AA41" s="72">
        <f t="shared" si="17"/>
      </c>
      <c r="AB41" s="72">
        <f t="shared" si="18"/>
      </c>
      <c r="AC41" s="72">
        <f t="shared" si="19"/>
      </c>
      <c r="AD41" s="74">
        <f t="shared" si="20"/>
      </c>
      <c r="AE41" s="73">
        <f t="shared" si="61"/>
      </c>
      <c r="AF41" s="40">
        <f t="shared" si="62"/>
      </c>
      <c r="AG41" s="40">
        <f t="shared" si="98"/>
      </c>
      <c r="AH41" s="40">
        <f t="shared" si="22"/>
      </c>
      <c r="AI41" s="270">
        <f t="shared" si="23"/>
      </c>
      <c r="AJ41" s="40">
        <f>IF($B41="","",I41*IF($G$14="Sí",IF(OR($D41="R",$D41="RST"),IF($D$2="Sí",IF($G41="Motor",$D$6*$W41/(BB41^2),$W41/$D$6)*($AV41*$F41+$AW41*SIN(ACOS($F41))),$W41*$F41))+SUMIF(INICIO,$B41,R_RE),0))</f>
      </c>
      <c r="AK41" s="40">
        <f>IF(B41="","",I41*IF($G$14="Sí",IF(OR($D41="R",$D41="RST"),IF($D$2="Sí",IF($G41="Motor",$D$6*$W41/(BB41^2),$W41/$D$6)*($AW41*$F41-$AV41*SIN(ACOS($F41))),-$W41*SIN(ACOS($F41))))+SUMIF(INICIO,$B41,R_IM),0))</f>
      </c>
      <c r="AL41" s="273">
        <f t="shared" si="24"/>
      </c>
      <c r="AM41" s="40">
        <f>IF(B41="","",I41*IF($H$14="Sí",IF(OR($D41="S",$D41="RST"),IF($D$2="Sí",IF($G41="Motor",$D$6*$W41/(BC41^2),$W41/$D$6)*($AX41*$F41+$AY41*SIN(ACOS($F41))),-$W41*$F41/2-SQRT(3)/2*$W41*SIN(ACOS($F41))))+SUMIF(INICIO,$B41,S_RE),0))</f>
      </c>
      <c r="AN41" s="40">
        <f>IF(B41="","",I41*IF($H$14="Sí",IF(OR($D41="S",$D41="RST"),IF($D$2="Sí",IF($G41="Motor",$D$6*$W41/(BC41^2),$W41/$D$6)*($AY41*$F41-$AX41*SIN(ACOS($F41))),-SQRT(3)/2*$W41*$F41+0.5*$W41*SIN(ACOS($F41))))+SUMIF(INICIO,$B41,S_IM),0))</f>
      </c>
      <c r="AO41" s="273">
        <f t="shared" si="25"/>
      </c>
      <c r="AP41" s="40">
        <f>IF(B41="","",I41*IF($I$14="Sí",IF(OR($D41="T",$D41="RST"),IF($D$2="Sí",IF($G41="Motor",$D$6*$W41/(BD41^2),$W41/$D$6)*($AZ41*$F41+$BA41*SIN(ACOS($F41))),-$W41*$F41/2+SQRT(3)/2*$W41*SIN(ACOS($F41))))+SUMIF(INICIO,$B41,T_RE),0))</f>
      </c>
      <c r="AQ41" s="272">
        <f>IF(B41="","",I41*IF($I$14="Sí",IF(OR($D41="T",$D41="RST"),IF($D$2="Sí",IF($G41="Motor",$D$6*$W41/(BD41^2),$W41/$D$6)*($BA41*$F41-$AZ41*SIN(ACOS($F41))),SQRT(3)/2*$W41*$F41+0.5*$W41*SIN(ACOS($F41))))+SUMIF(INICIO,$B41,T_IM),0))</f>
      </c>
      <c r="AR41" s="40">
        <f t="shared" si="26"/>
      </c>
      <c r="AS41" s="40">
        <f t="shared" si="27"/>
      </c>
      <c r="AT41" s="40">
        <f t="shared" si="28"/>
      </c>
      <c r="AU41" s="40">
        <f t="shared" si="29"/>
      </c>
      <c r="AV41" s="73">
        <f t="shared" si="63"/>
      </c>
      <c r="AW41" s="73">
        <f t="shared" si="64"/>
      </c>
      <c r="AX41" s="73">
        <f t="shared" si="65"/>
      </c>
      <c r="AY41" s="73">
        <f t="shared" si="66"/>
      </c>
      <c r="AZ41" s="73">
        <f t="shared" si="67"/>
      </c>
      <c r="BA41" s="73">
        <f t="shared" si="68"/>
      </c>
      <c r="BB41" s="73">
        <f t="shared" si="69"/>
      </c>
      <c r="BC41" s="73">
        <f t="shared" si="70"/>
      </c>
      <c r="BD41" s="73">
        <f t="shared" si="71"/>
      </c>
      <c r="BE41" s="73">
        <f t="shared" si="30"/>
      </c>
      <c r="BF41" s="73">
        <f t="shared" si="31"/>
      </c>
      <c r="BG41" s="73">
        <f t="shared" si="32"/>
      </c>
      <c r="BH41" s="73">
        <f t="shared" si="33"/>
      </c>
      <c r="BI41" s="73">
        <f t="shared" si="96"/>
      </c>
      <c r="BJ41" s="73">
        <f t="shared" si="97"/>
      </c>
      <c r="BK41" s="40">
        <f t="shared" si="72"/>
      </c>
      <c r="BL41" s="40">
        <f t="shared" si="73"/>
      </c>
      <c r="BM41" s="40">
        <f t="shared" si="74"/>
      </c>
      <c r="BN41" s="40">
        <f t="shared" si="34"/>
      </c>
      <c r="BO41" s="40">
        <f t="shared" si="5"/>
      </c>
      <c r="BP41" s="40">
        <f t="shared" si="35"/>
      </c>
      <c r="BQ41" s="40">
        <f t="shared" si="36"/>
      </c>
      <c r="BR41" s="40">
        <f t="shared" si="37"/>
      </c>
      <c r="BS41" s="40">
        <f t="shared" si="75"/>
      </c>
      <c r="BT41" s="40">
        <f t="shared" si="38"/>
      </c>
      <c r="BU41" s="40">
        <f t="shared" si="39"/>
      </c>
      <c r="BV41" s="75">
        <f t="shared" si="40"/>
      </c>
      <c r="BW41" s="75">
        <f t="shared" si="41"/>
      </c>
      <c r="BX41" s="40">
        <f t="shared" si="6"/>
      </c>
      <c r="BY41" s="40">
        <f t="shared" si="42"/>
      </c>
      <c r="BZ41" s="61"/>
      <c r="CA41" s="73">
        <f t="shared" si="43"/>
      </c>
      <c r="CB41" s="84"/>
      <c r="CC41" s="73">
        <f t="shared" si="44"/>
      </c>
      <c r="CD41" s="73">
        <f t="shared" si="85"/>
      </c>
      <c r="CE41" s="73">
        <f t="shared" si="86"/>
      </c>
      <c r="CF41" s="73">
        <f t="shared" si="87"/>
      </c>
      <c r="CG41" s="73">
        <f t="shared" si="48"/>
      </c>
      <c r="CH41" s="73">
        <f t="shared" si="49"/>
      </c>
      <c r="CI41" s="73">
        <f t="shared" si="50"/>
      </c>
      <c r="CJ41" s="76">
        <f t="shared" si="51"/>
      </c>
      <c r="CK41" s="76">
        <f t="shared" si="76"/>
      </c>
      <c r="CL41" s="76">
        <f t="shared" si="77"/>
      </c>
      <c r="CM41" s="76">
        <f t="shared" si="78"/>
      </c>
      <c r="CN41" s="40">
        <f t="shared" si="7"/>
      </c>
      <c r="CO41" s="40">
        <f t="shared" si="88"/>
      </c>
      <c r="CP41" s="40">
        <f t="shared" si="89"/>
      </c>
      <c r="CQ41" s="40">
        <f t="shared" si="90"/>
      </c>
      <c r="CR41" s="40">
        <f t="shared" si="91"/>
      </c>
      <c r="CS41" s="40">
        <f t="shared" si="81"/>
      </c>
      <c r="CT41" s="40">
        <f t="shared" si="55"/>
      </c>
      <c r="CU41" s="40">
        <f t="shared" si="93"/>
      </c>
      <c r="CV41" s="40">
        <f t="shared" si="94"/>
      </c>
      <c r="CW41" s="40">
        <f t="shared" si="95"/>
      </c>
      <c r="CX41" s="40">
        <f t="shared" si="82"/>
      </c>
      <c r="CY41" s="40">
        <f t="shared" si="83"/>
      </c>
      <c r="CZ41" s="40">
        <f t="shared" si="92"/>
      </c>
      <c r="DA41" s="40">
        <f t="shared" si="60"/>
      </c>
    </row>
    <row r="42" spans="1:105" ht="12.75">
      <c r="A42" s="61"/>
      <c r="B42" s="61"/>
      <c r="C42" s="61"/>
      <c r="D42" s="61"/>
      <c r="E42" s="61"/>
      <c r="F42" s="61"/>
      <c r="G42" s="61"/>
      <c r="H42" s="120"/>
      <c r="I42" s="61"/>
      <c r="J42" s="61"/>
      <c r="K42" s="61"/>
      <c r="L42" s="61"/>
      <c r="M42" s="61"/>
      <c r="N42" s="61"/>
      <c r="O42" s="61"/>
      <c r="P42" s="61"/>
      <c r="Q42" s="120"/>
      <c r="R42" s="120"/>
      <c r="S42" s="120"/>
      <c r="T42" s="120"/>
      <c r="U42" s="72">
        <f t="shared" si="84"/>
      </c>
      <c r="V42" s="72">
        <f t="shared" si="12"/>
      </c>
      <c r="W42" s="73">
        <f t="shared" si="13"/>
      </c>
      <c r="X42" s="72">
        <f t="shared" si="14"/>
      </c>
      <c r="Y42" s="72">
        <f t="shared" si="15"/>
      </c>
      <c r="Z42" s="72">
        <f t="shared" si="16"/>
      </c>
      <c r="AA42" s="72">
        <f t="shared" si="17"/>
      </c>
      <c r="AB42" s="72">
        <f t="shared" si="18"/>
      </c>
      <c r="AC42" s="72">
        <f t="shared" si="19"/>
      </c>
      <c r="AD42" s="74">
        <f t="shared" si="20"/>
      </c>
      <c r="AE42" s="73">
        <f t="shared" si="61"/>
      </c>
      <c r="AF42" s="40">
        <f t="shared" si="62"/>
      </c>
      <c r="AG42" s="40">
        <f t="shared" si="98"/>
      </c>
      <c r="AH42" s="40">
        <f t="shared" si="22"/>
      </c>
      <c r="AI42" s="270">
        <f t="shared" si="23"/>
      </c>
      <c r="AJ42" s="40">
        <f>IF($B42="","",I42*IF($G$14="Sí",IF(OR($D42="R",$D42="RST"),IF($D$2="Sí",IF($G42="Motor",$D$6*$W42/(BB42^2),$W42/$D$6)*($AV42*$F42+$AW42*SIN(ACOS($F42))),$W42*$F42))+SUMIF(INICIO,$B42,R_RE),0))</f>
      </c>
      <c r="AK42" s="40">
        <f>IF(B42="","",I42*IF($G$14="Sí",IF(OR($D42="R",$D42="RST"),IF($D$2="Sí",IF($G42="Motor",$D$6*$W42/(BB42^2),$W42/$D$6)*($AW42*$F42-$AV42*SIN(ACOS($F42))),-$W42*SIN(ACOS($F42))))+SUMIF(INICIO,$B42,R_IM),0))</f>
      </c>
      <c r="AL42" s="273">
        <f t="shared" si="24"/>
      </c>
      <c r="AM42" s="40">
        <f>IF(B42="","",I42*IF($H$14="Sí",IF(OR($D42="S",$D42="RST"),IF($D$2="Sí",IF($G42="Motor",$D$6*$W42/(BC42^2),$W42/$D$6)*($AX42*$F42+$AY42*SIN(ACOS($F42))),-$W42*$F42/2-SQRT(3)/2*$W42*SIN(ACOS($F42))))+SUMIF(INICIO,$B42,S_RE),0))</f>
      </c>
      <c r="AN42" s="40">
        <f>IF(B42="","",I42*IF($H$14="Sí",IF(OR($D42="S",$D42="RST"),IF($D$2="Sí",IF($G42="Motor",$D$6*$W42/(BC42^2),$W42/$D$6)*($AY42*$F42-$AX42*SIN(ACOS($F42))),-SQRT(3)/2*$W42*$F42+0.5*$W42*SIN(ACOS($F42))))+SUMIF(INICIO,$B42,S_IM),0))</f>
      </c>
      <c r="AO42" s="273">
        <f t="shared" si="25"/>
      </c>
      <c r="AP42" s="40">
        <f>IF(B42="","",I42*IF($I$14="Sí",IF(OR($D42="T",$D42="RST"),IF($D$2="Sí",IF($G42="Motor",$D$6*$W42/(BD42^2),$W42/$D$6)*($AZ42*$F42+$BA42*SIN(ACOS($F42))),-$W42*$F42/2+SQRT(3)/2*$W42*SIN(ACOS($F42))))+SUMIF(INICIO,$B42,T_RE),0))</f>
      </c>
      <c r="AQ42" s="272">
        <f>IF(B42="","",I42*IF($I$14="Sí",IF(OR($D42="T",$D42="RST"),IF($D$2="Sí",IF($G42="Motor",$D$6*$W42/(BD42^2),$W42/$D$6)*($BA42*$F42-$AZ42*SIN(ACOS($F42))),SQRT(3)/2*$W42*$F42+0.5*$W42*SIN(ACOS($F42))))+SUMIF(INICIO,$B42,T_IM),0))</f>
      </c>
      <c r="AR42" s="40">
        <f t="shared" si="26"/>
      </c>
      <c r="AS42" s="40">
        <f t="shared" si="27"/>
      </c>
      <c r="AT42" s="40">
        <f t="shared" si="28"/>
      </c>
      <c r="AU42" s="40">
        <f t="shared" si="29"/>
      </c>
      <c r="AV42" s="73">
        <f t="shared" si="63"/>
      </c>
      <c r="AW42" s="73">
        <f t="shared" si="64"/>
      </c>
      <c r="AX42" s="73">
        <f t="shared" si="65"/>
      </c>
      <c r="AY42" s="73">
        <f t="shared" si="66"/>
      </c>
      <c r="AZ42" s="73">
        <f t="shared" si="67"/>
      </c>
      <c r="BA42" s="73">
        <f t="shared" si="68"/>
      </c>
      <c r="BB42" s="73">
        <f t="shared" si="69"/>
      </c>
      <c r="BC42" s="73">
        <f t="shared" si="70"/>
      </c>
      <c r="BD42" s="73">
        <f t="shared" si="71"/>
      </c>
      <c r="BE42" s="73">
        <f t="shared" si="30"/>
      </c>
      <c r="BF42" s="73">
        <f t="shared" si="31"/>
      </c>
      <c r="BG42" s="73">
        <f t="shared" si="32"/>
      </c>
      <c r="BH42" s="73">
        <f t="shared" si="33"/>
      </c>
      <c r="BI42" s="73">
        <f t="shared" si="96"/>
      </c>
      <c r="BJ42" s="73">
        <f t="shared" si="97"/>
      </c>
      <c r="BK42" s="40">
        <f t="shared" si="72"/>
      </c>
      <c r="BL42" s="40">
        <f t="shared" si="73"/>
      </c>
      <c r="BM42" s="40">
        <f t="shared" si="74"/>
      </c>
      <c r="BN42" s="40">
        <f t="shared" si="34"/>
      </c>
      <c r="BO42" s="40">
        <f t="shared" si="5"/>
      </c>
      <c r="BP42" s="40">
        <f t="shared" si="35"/>
      </c>
      <c r="BQ42" s="40">
        <f t="shared" si="36"/>
      </c>
      <c r="BR42" s="40">
        <f t="shared" si="37"/>
      </c>
      <c r="BS42" s="40">
        <f t="shared" si="75"/>
      </c>
      <c r="BT42" s="40">
        <f t="shared" si="38"/>
      </c>
      <c r="BU42" s="40">
        <f t="shared" si="39"/>
      </c>
      <c r="BV42" s="75">
        <f t="shared" si="40"/>
      </c>
      <c r="BW42" s="75">
        <f t="shared" si="41"/>
      </c>
      <c r="BX42" s="40">
        <f t="shared" si="6"/>
      </c>
      <c r="BY42" s="40">
        <f t="shared" si="42"/>
      </c>
      <c r="BZ42" s="61"/>
      <c r="CA42" s="73">
        <f t="shared" si="43"/>
      </c>
      <c r="CB42" s="84"/>
      <c r="CC42" s="73">
        <f t="shared" si="44"/>
      </c>
      <c r="CD42" s="73">
        <f t="shared" si="85"/>
      </c>
      <c r="CE42" s="73">
        <f t="shared" si="86"/>
      </c>
      <c r="CF42" s="73">
        <f t="shared" si="87"/>
      </c>
      <c r="CG42" s="73">
        <f t="shared" si="48"/>
      </c>
      <c r="CH42" s="73">
        <f t="shared" si="49"/>
      </c>
      <c r="CI42" s="73">
        <f t="shared" si="50"/>
      </c>
      <c r="CJ42" s="76">
        <f t="shared" si="51"/>
      </c>
      <c r="CK42" s="76">
        <f t="shared" si="76"/>
      </c>
      <c r="CL42" s="76">
        <f t="shared" si="77"/>
      </c>
      <c r="CM42" s="76">
        <f t="shared" si="78"/>
      </c>
      <c r="CN42" s="40">
        <f t="shared" si="7"/>
      </c>
      <c r="CO42" s="40">
        <f t="shared" si="88"/>
      </c>
      <c r="CP42" s="40">
        <f t="shared" si="89"/>
      </c>
      <c r="CQ42" s="40">
        <f t="shared" si="90"/>
      </c>
      <c r="CR42" s="40">
        <f t="shared" si="91"/>
      </c>
      <c r="CS42" s="40">
        <f t="shared" si="81"/>
      </c>
      <c r="CT42" s="40">
        <f t="shared" si="55"/>
      </c>
      <c r="CU42" s="40">
        <f t="shared" si="93"/>
      </c>
      <c r="CV42" s="40">
        <f t="shared" si="94"/>
      </c>
      <c r="CW42" s="40">
        <f t="shared" si="95"/>
      </c>
      <c r="CX42" s="40">
        <f t="shared" si="82"/>
      </c>
      <c r="CY42" s="40">
        <f t="shared" si="83"/>
      </c>
      <c r="CZ42" s="40">
        <f t="shared" si="92"/>
      </c>
      <c r="DA42" s="40">
        <f t="shared" si="60"/>
      </c>
    </row>
    <row r="43" spans="1:105" ht="12.75">
      <c r="A43" s="61"/>
      <c r="B43" s="61"/>
      <c r="C43" s="61"/>
      <c r="D43" s="61"/>
      <c r="E43" s="61"/>
      <c r="F43" s="61"/>
      <c r="G43" s="61"/>
      <c r="H43" s="120"/>
      <c r="I43" s="61"/>
      <c r="J43" s="61"/>
      <c r="K43" s="61"/>
      <c r="L43" s="61"/>
      <c r="M43" s="61"/>
      <c r="N43" s="61"/>
      <c r="O43" s="61"/>
      <c r="P43" s="61"/>
      <c r="Q43" s="120"/>
      <c r="R43" s="120"/>
      <c r="S43" s="120"/>
      <c r="T43" s="120"/>
      <c r="U43" s="72">
        <f t="shared" si="84"/>
      </c>
      <c r="V43" s="72">
        <f t="shared" si="12"/>
      </c>
      <c r="W43" s="73">
        <f t="shared" si="13"/>
      </c>
      <c r="X43" s="72">
        <f t="shared" si="14"/>
      </c>
      <c r="Y43" s="72">
        <f t="shared" si="15"/>
      </c>
      <c r="Z43" s="72">
        <f t="shared" si="16"/>
      </c>
      <c r="AA43" s="72">
        <f t="shared" si="17"/>
      </c>
      <c r="AB43" s="72">
        <f t="shared" si="18"/>
      </c>
      <c r="AC43" s="72">
        <f t="shared" si="19"/>
      </c>
      <c r="AD43" s="74">
        <f t="shared" si="20"/>
      </c>
      <c r="AE43" s="73">
        <f t="shared" si="61"/>
      </c>
      <c r="AF43" s="40">
        <f t="shared" si="62"/>
      </c>
      <c r="AG43" s="40">
        <f t="shared" si="98"/>
      </c>
      <c r="AH43" s="40">
        <f t="shared" si="22"/>
      </c>
      <c r="AI43" s="270">
        <f t="shared" si="23"/>
      </c>
      <c r="AJ43" s="40">
        <f>IF($B43="","",I43*IF($G$14="Sí",IF(OR($D43="R",$D43="RST"),IF($D$2="Sí",IF($G43="Motor",$D$6*$W43/(BB43^2),$W43/$D$6)*($AV43*$F43+$AW43*SIN(ACOS($F43))),$W43*$F43))+SUMIF(INICIO,$B43,R_RE),0))</f>
      </c>
      <c r="AK43" s="40">
        <f>IF(B43="","",I43*IF($G$14="Sí",IF(OR($D43="R",$D43="RST"),IF($D$2="Sí",IF($G43="Motor",$D$6*$W43/(BB43^2),$W43/$D$6)*($AW43*$F43-$AV43*SIN(ACOS($F43))),-$W43*SIN(ACOS($F43))))+SUMIF(INICIO,$B43,R_IM),0))</f>
      </c>
      <c r="AL43" s="273">
        <f t="shared" si="24"/>
      </c>
      <c r="AM43" s="40">
        <f>IF(B43="","",I43*IF($H$14="Sí",IF(OR($D43="S",$D43="RST"),IF($D$2="Sí",IF($G43="Motor",$D$6*$W43/(BC43^2),$W43/$D$6)*($AX43*$F43+$AY43*SIN(ACOS($F43))),-$W43*$F43/2-SQRT(3)/2*$W43*SIN(ACOS($F43))))+SUMIF(INICIO,$B43,S_RE),0))</f>
      </c>
      <c r="AN43" s="40">
        <f>IF(B43="","",I43*IF($H$14="Sí",IF(OR($D43="S",$D43="RST"),IF($D$2="Sí",IF($G43="Motor",$D$6*$W43/(BC43^2),$W43/$D$6)*($AY43*$F43-$AX43*SIN(ACOS($F43))),-SQRT(3)/2*$W43*$F43+0.5*$W43*SIN(ACOS($F43))))+SUMIF(INICIO,$B43,S_IM),0))</f>
      </c>
      <c r="AO43" s="273">
        <f t="shared" si="25"/>
      </c>
      <c r="AP43" s="40">
        <f>IF(B43="","",I43*IF($I$14="Sí",IF(OR($D43="T",$D43="RST"),IF($D$2="Sí",IF($G43="Motor",$D$6*$W43/(BD43^2),$W43/$D$6)*($AZ43*$F43+$BA43*SIN(ACOS($F43))),-$W43*$F43/2+SQRT(3)/2*$W43*SIN(ACOS($F43))))+SUMIF(INICIO,$B43,T_RE),0))</f>
      </c>
      <c r="AQ43" s="272">
        <f>IF(B43="","",I43*IF($I$14="Sí",IF(OR($D43="T",$D43="RST"),IF($D$2="Sí",IF($G43="Motor",$D$6*$W43/(BD43^2),$W43/$D$6)*($BA43*$F43-$AZ43*SIN(ACOS($F43))),SQRT(3)/2*$W43*$F43+0.5*$W43*SIN(ACOS($F43))))+SUMIF(INICIO,$B43,T_IM),0))</f>
      </c>
      <c r="AR43" s="40">
        <f t="shared" si="26"/>
      </c>
      <c r="AS43" s="40">
        <f t="shared" si="27"/>
      </c>
      <c r="AT43" s="40">
        <f t="shared" si="28"/>
      </c>
      <c r="AU43" s="40">
        <f t="shared" si="29"/>
      </c>
      <c r="AV43" s="73">
        <f t="shared" si="63"/>
      </c>
      <c r="AW43" s="73">
        <f t="shared" si="64"/>
      </c>
      <c r="AX43" s="73">
        <f t="shared" si="65"/>
      </c>
      <c r="AY43" s="73">
        <f t="shared" si="66"/>
      </c>
      <c r="AZ43" s="73">
        <f t="shared" si="67"/>
      </c>
      <c r="BA43" s="73">
        <f t="shared" si="68"/>
      </c>
      <c r="BB43" s="73">
        <f t="shared" si="69"/>
      </c>
      <c r="BC43" s="73">
        <f t="shared" si="70"/>
      </c>
      <c r="BD43" s="73">
        <f t="shared" si="71"/>
      </c>
      <c r="BE43" s="73">
        <f t="shared" si="30"/>
      </c>
      <c r="BF43" s="73">
        <f t="shared" si="31"/>
      </c>
      <c r="BG43" s="73">
        <f t="shared" si="32"/>
      </c>
      <c r="BH43" s="73">
        <f t="shared" si="33"/>
      </c>
      <c r="BI43" s="73">
        <f t="shared" si="96"/>
      </c>
      <c r="BJ43" s="73">
        <f t="shared" si="97"/>
      </c>
      <c r="BK43" s="40">
        <f t="shared" si="72"/>
      </c>
      <c r="BL43" s="40">
        <f t="shared" si="73"/>
      </c>
      <c r="BM43" s="40">
        <f t="shared" si="74"/>
      </c>
      <c r="BN43" s="40">
        <f t="shared" si="34"/>
      </c>
      <c r="BO43" s="40">
        <f t="shared" si="5"/>
      </c>
      <c r="BP43" s="40">
        <f t="shared" si="35"/>
      </c>
      <c r="BQ43" s="40">
        <f t="shared" si="36"/>
      </c>
      <c r="BR43" s="40">
        <f t="shared" si="37"/>
      </c>
      <c r="BS43" s="40">
        <f t="shared" si="75"/>
      </c>
      <c r="BT43" s="40">
        <f t="shared" si="38"/>
      </c>
      <c r="BU43" s="40">
        <f t="shared" si="39"/>
      </c>
      <c r="BV43" s="75">
        <f t="shared" si="40"/>
      </c>
      <c r="BW43" s="75">
        <f t="shared" si="41"/>
      </c>
      <c r="BX43" s="40">
        <f t="shared" si="6"/>
      </c>
      <c r="BY43" s="40">
        <f t="shared" si="42"/>
      </c>
      <c r="BZ43" s="61"/>
      <c r="CA43" s="73">
        <f t="shared" si="43"/>
      </c>
      <c r="CB43" s="84"/>
      <c r="CC43" s="73">
        <f t="shared" si="44"/>
      </c>
      <c r="CD43" s="73">
        <f t="shared" si="85"/>
      </c>
      <c r="CE43" s="73">
        <f t="shared" si="86"/>
      </c>
      <c r="CF43" s="73">
        <f t="shared" si="87"/>
      </c>
      <c r="CG43" s="73">
        <f t="shared" si="48"/>
      </c>
      <c r="CH43" s="73">
        <f t="shared" si="49"/>
      </c>
      <c r="CI43" s="73">
        <f t="shared" si="50"/>
      </c>
      <c r="CJ43" s="76">
        <f t="shared" si="51"/>
      </c>
      <c r="CK43" s="76">
        <f t="shared" si="76"/>
      </c>
      <c r="CL43" s="76">
        <f t="shared" si="77"/>
      </c>
      <c r="CM43" s="76">
        <f t="shared" si="78"/>
      </c>
      <c r="CN43" s="40">
        <f t="shared" si="7"/>
      </c>
      <c r="CO43" s="40">
        <f t="shared" si="88"/>
      </c>
      <c r="CP43" s="40">
        <f t="shared" si="89"/>
      </c>
      <c r="CQ43" s="40">
        <f t="shared" si="90"/>
      </c>
      <c r="CR43" s="40">
        <f t="shared" si="91"/>
      </c>
      <c r="CS43" s="40">
        <f t="shared" si="81"/>
      </c>
      <c r="CT43" s="40">
        <f t="shared" si="55"/>
      </c>
      <c r="CU43" s="40">
        <f t="shared" si="93"/>
      </c>
      <c r="CV43" s="40">
        <f t="shared" si="94"/>
      </c>
      <c r="CW43" s="40">
        <f t="shared" si="95"/>
      </c>
      <c r="CX43" s="40">
        <f t="shared" si="82"/>
      </c>
      <c r="CY43" s="40">
        <f t="shared" si="83"/>
      </c>
      <c r="CZ43" s="40">
        <f t="shared" si="92"/>
      </c>
      <c r="DA43" s="40">
        <f t="shared" si="60"/>
      </c>
    </row>
    <row r="44" spans="1:105" ht="12.75">
      <c r="A44" s="61"/>
      <c r="B44" s="61"/>
      <c r="C44" s="61"/>
      <c r="D44" s="61"/>
      <c r="E44" s="61"/>
      <c r="F44" s="61"/>
      <c r="G44" s="61"/>
      <c r="H44" s="120"/>
      <c r="I44" s="61"/>
      <c r="J44" s="61"/>
      <c r="K44" s="61"/>
      <c r="L44" s="61"/>
      <c r="M44" s="61"/>
      <c r="N44" s="61"/>
      <c r="O44" s="61"/>
      <c r="P44" s="61"/>
      <c r="Q44" s="120"/>
      <c r="R44" s="120"/>
      <c r="S44" s="120"/>
      <c r="T44" s="120"/>
      <c r="U44" s="72">
        <f t="shared" si="84"/>
      </c>
      <c r="V44" s="72">
        <f t="shared" si="12"/>
      </c>
      <c r="W44" s="73">
        <f t="shared" si="13"/>
      </c>
      <c r="X44" s="72">
        <f t="shared" si="14"/>
      </c>
      <c r="Y44" s="72">
        <f t="shared" si="15"/>
      </c>
      <c r="Z44" s="72">
        <f t="shared" si="16"/>
      </c>
      <c r="AA44" s="72">
        <f t="shared" si="17"/>
      </c>
      <c r="AB44" s="72">
        <f t="shared" si="18"/>
      </c>
      <c r="AC44" s="72">
        <f t="shared" si="19"/>
      </c>
      <c r="AD44" s="74">
        <f t="shared" si="20"/>
      </c>
      <c r="AE44" s="73">
        <f t="shared" si="61"/>
      </c>
      <c r="AF44" s="40">
        <f t="shared" si="62"/>
      </c>
      <c r="AG44" s="40">
        <f t="shared" si="98"/>
      </c>
      <c r="AH44" s="40">
        <f t="shared" si="22"/>
      </c>
      <c r="AI44" s="270">
        <f t="shared" si="23"/>
      </c>
      <c r="AJ44" s="40">
        <f>IF($B44="","",I44*IF($G$14="Sí",IF(OR($D44="R",$D44="RST"),IF($D$2="Sí",IF($G44="Motor",$D$6*$W44/(BB44^2),$W44/$D$6)*($AV44*$F44+$AW44*SIN(ACOS($F44))),$W44*$F44))+SUMIF(INICIO,$B44,R_RE),0))</f>
      </c>
      <c r="AK44" s="40">
        <f>IF(B44="","",I44*IF($G$14="Sí",IF(OR($D44="R",$D44="RST"),IF($D$2="Sí",IF($G44="Motor",$D$6*$W44/(BB44^2),$W44/$D$6)*($AW44*$F44-$AV44*SIN(ACOS($F44))),-$W44*SIN(ACOS($F44))))+SUMIF(INICIO,$B44,R_IM),0))</f>
      </c>
      <c r="AL44" s="273">
        <f t="shared" si="24"/>
      </c>
      <c r="AM44" s="40">
        <f>IF(B44="","",I44*IF($H$14="Sí",IF(OR($D44="S",$D44="RST"),IF($D$2="Sí",IF($G44="Motor",$D$6*$W44/(BC44^2),$W44/$D$6)*($AX44*$F44+$AY44*SIN(ACOS($F44))),-$W44*$F44/2-SQRT(3)/2*$W44*SIN(ACOS($F44))))+SUMIF(INICIO,$B44,S_RE),0))</f>
      </c>
      <c r="AN44" s="40">
        <f>IF(B44="","",I44*IF($H$14="Sí",IF(OR($D44="S",$D44="RST"),IF($D$2="Sí",IF($G44="Motor",$D$6*$W44/(BC44^2),$W44/$D$6)*($AY44*$F44-$AX44*SIN(ACOS($F44))),-SQRT(3)/2*$W44*$F44+0.5*$W44*SIN(ACOS($F44))))+SUMIF(INICIO,$B44,S_IM),0))</f>
      </c>
      <c r="AO44" s="273">
        <f t="shared" si="25"/>
      </c>
      <c r="AP44" s="40">
        <f>IF(B44="","",I44*IF($I$14="Sí",IF(OR($D44="T",$D44="RST"),IF($D$2="Sí",IF($G44="Motor",$D$6*$W44/(BD44^2),$W44/$D$6)*($AZ44*$F44+$BA44*SIN(ACOS($F44))),-$W44*$F44/2+SQRT(3)/2*$W44*SIN(ACOS($F44))))+SUMIF(INICIO,$B44,T_RE),0))</f>
      </c>
      <c r="AQ44" s="272">
        <f>IF(B44="","",I44*IF($I$14="Sí",IF(OR($D44="T",$D44="RST"),IF($D$2="Sí",IF($G44="Motor",$D$6*$W44/(BD44^2),$W44/$D$6)*($BA44*$F44-$AZ44*SIN(ACOS($F44))),SQRT(3)/2*$W44*$F44+0.5*$W44*SIN(ACOS($F44))))+SUMIF(INICIO,$B44,T_IM),0))</f>
      </c>
      <c r="AR44" s="40">
        <f t="shared" si="26"/>
      </c>
      <c r="AS44" s="40">
        <f t="shared" si="27"/>
      </c>
      <c r="AT44" s="40">
        <f t="shared" si="28"/>
      </c>
      <c r="AU44" s="40">
        <f t="shared" si="29"/>
      </c>
      <c r="AV44" s="73">
        <f t="shared" si="63"/>
      </c>
      <c r="AW44" s="73">
        <f t="shared" si="64"/>
      </c>
      <c r="AX44" s="73">
        <f t="shared" si="65"/>
      </c>
      <c r="AY44" s="73">
        <f t="shared" si="66"/>
      </c>
      <c r="AZ44" s="73">
        <f t="shared" si="67"/>
      </c>
      <c r="BA44" s="73">
        <f t="shared" si="68"/>
      </c>
      <c r="BB44" s="73">
        <f t="shared" si="69"/>
      </c>
      <c r="BC44" s="73">
        <f t="shared" si="70"/>
      </c>
      <c r="BD44" s="73">
        <f t="shared" si="71"/>
      </c>
      <c r="BE44" s="73">
        <f t="shared" si="30"/>
      </c>
      <c r="BF44" s="73">
        <f t="shared" si="31"/>
      </c>
      <c r="BG44" s="73">
        <f t="shared" si="32"/>
      </c>
      <c r="BH44" s="73">
        <f t="shared" si="33"/>
      </c>
      <c r="BI44" s="73">
        <f t="shared" si="96"/>
      </c>
      <c r="BJ44" s="73">
        <f t="shared" si="97"/>
      </c>
      <c r="BK44" s="40">
        <f>IF(B44="","",I44*(W44+SUMIF(INICIO,$B44,I_tramo)))</f>
      </c>
      <c r="BL44" s="40">
        <f>IF(B44="","",BK44-CC44+1.25*CC44)</f>
      </c>
      <c r="BM44" s="40">
        <f>IF(B44="","",SUMIF(FINAL,$A44,U_FINAL)-SQRT(3)*U44*CN44)</f>
      </c>
      <c r="BN44" s="40">
        <f>IF(B44="","",100*($D$5-BM44)/$D$5)</f>
      </c>
      <c r="BO44" s="40">
        <f>IF(B44="","",MAX(CR44:CT44)-CC44+1.25*CC44)</f>
      </c>
      <c r="BP44" s="40">
        <f>IF(B44="","",SUMIF(FINAL,$A44,U_FINAL_R)-SQRT(3)*U44*CX44)</f>
      </c>
      <c r="BQ44" s="40">
        <f>IF(B44="","",100*($D$5-BP44)/$D$5)</f>
      </c>
      <c r="BR44" s="40">
        <f>IF(B44="","",SUMIF(FINAL,$A44,U_FINAL_S)-SQRT(3)*U44*CY44)</f>
      </c>
      <c r="BS44" s="40">
        <f>IF(B44="","",100*($D$5-BR44)/$D$5)</f>
      </c>
      <c r="BT44" s="40">
        <f t="shared" si="38"/>
      </c>
      <c r="BU44" s="40">
        <f t="shared" si="39"/>
      </c>
      <c r="BV44" s="75">
        <f t="shared" si="40"/>
      </c>
      <c r="BW44" s="75">
        <f t="shared" si="41"/>
      </c>
      <c r="BX44" s="40">
        <f t="shared" si="6"/>
      </c>
      <c r="BY44" s="40">
        <f t="shared" si="42"/>
      </c>
      <c r="BZ44" s="61"/>
      <c r="CA44" s="73">
        <f t="shared" si="43"/>
      </c>
      <c r="CB44" s="84"/>
      <c r="CC44" s="73">
        <f t="shared" si="44"/>
      </c>
      <c r="CD44" s="73">
        <f t="shared" si="85"/>
      </c>
      <c r="CE44" s="73">
        <f t="shared" si="86"/>
      </c>
      <c r="CF44" s="73">
        <f t="shared" si="87"/>
      </c>
      <c r="CG44" s="73">
        <f t="shared" si="48"/>
      </c>
      <c r="CH44" s="73">
        <f t="shared" si="49"/>
      </c>
      <c r="CI44" s="73">
        <f t="shared" si="50"/>
      </c>
      <c r="CJ44" s="76">
        <f t="shared" si="51"/>
      </c>
      <c r="CK44" s="76">
        <f t="shared" si="76"/>
      </c>
      <c r="CL44" s="76">
        <f t="shared" si="77"/>
      </c>
      <c r="CM44" s="76">
        <f t="shared" si="78"/>
      </c>
      <c r="CN44" s="40">
        <f t="shared" si="7"/>
      </c>
      <c r="CO44" s="40">
        <f t="shared" si="88"/>
      </c>
      <c r="CP44" s="40">
        <f t="shared" si="89"/>
      </c>
      <c r="CQ44" s="40">
        <f t="shared" si="90"/>
      </c>
      <c r="CR44" s="40">
        <f t="shared" si="91"/>
      </c>
      <c r="CS44" s="40">
        <f t="shared" si="81"/>
      </c>
      <c r="CT44" s="40">
        <f t="shared" si="55"/>
      </c>
      <c r="CU44" s="40">
        <f t="shared" si="93"/>
      </c>
      <c r="CV44" s="40">
        <f t="shared" si="94"/>
      </c>
      <c r="CW44" s="40">
        <f t="shared" si="95"/>
      </c>
      <c r="CX44" s="40">
        <f t="shared" si="82"/>
      </c>
      <c r="CY44" s="40">
        <f t="shared" si="83"/>
      </c>
      <c r="CZ44" s="40">
        <f t="shared" si="92"/>
      </c>
      <c r="DA44" s="40">
        <f t="shared" si="60"/>
      </c>
    </row>
    <row r="45" spans="1:105" ht="12.75">
      <c r="A45" s="61"/>
      <c r="B45" s="61"/>
      <c r="C45" s="61"/>
      <c r="D45" s="61"/>
      <c r="E45" s="61"/>
      <c r="F45" s="61"/>
      <c r="G45" s="61"/>
      <c r="H45" s="120"/>
      <c r="I45" s="61"/>
      <c r="J45" s="61"/>
      <c r="K45" s="61"/>
      <c r="L45" s="61"/>
      <c r="M45" s="61"/>
      <c r="N45" s="61"/>
      <c r="O45" s="61"/>
      <c r="P45" s="61"/>
      <c r="Q45" s="120"/>
      <c r="R45" s="120"/>
      <c r="S45" s="120"/>
      <c r="T45" s="120"/>
      <c r="U45" s="72">
        <f t="shared" si="84"/>
      </c>
      <c r="V45" s="72">
        <f t="shared" si="12"/>
      </c>
      <c r="W45" s="73">
        <f t="shared" si="13"/>
      </c>
      <c r="X45" s="72">
        <f t="shared" si="14"/>
      </c>
      <c r="Y45" s="72">
        <f t="shared" si="15"/>
      </c>
      <c r="Z45" s="72">
        <f t="shared" si="16"/>
      </c>
      <c r="AA45" s="72">
        <f t="shared" si="17"/>
      </c>
      <c r="AB45" s="72">
        <f t="shared" si="18"/>
      </c>
      <c r="AC45" s="72">
        <f t="shared" si="19"/>
      </c>
      <c r="AD45" s="74">
        <f t="shared" si="20"/>
      </c>
      <c r="AE45" s="73">
        <f t="shared" si="61"/>
      </c>
      <c r="AF45" s="40">
        <f t="shared" si="62"/>
      </c>
      <c r="AG45" s="40">
        <f t="shared" si="98"/>
      </c>
      <c r="AH45" s="40">
        <f>IF(B45="","",$D$5-MIN(BE45:BG45))</f>
      </c>
      <c r="AI45" s="270">
        <f>IF(B45="","",100*AH45/$D$5)</f>
      </c>
      <c r="AJ45" s="40">
        <f>IF($B45="","",I45*IF($G$14="Sí",IF(OR($D45="R",$D45="RST"),IF($D$2="Sí",IF($G45="Motor",$D$6*$W45/(BB45^2),$W45/$D$6)*($AV45*$F45+$AW45*SIN(ACOS($F45))),$W45*$F45))+SUMIF(INICIO,$B45,R_RE),0))</f>
      </c>
      <c r="AK45" s="40">
        <f>IF(B45="","",I45*IF($G$14="Sí",IF(OR($D45="R",$D45="RST"),IF($D$2="Sí",IF($G45="Motor",$D$6*$W45/(BB45^2),$W45/$D$6)*($AW45*$F45-$AV45*SIN(ACOS($F45))),-$W45*SIN(ACOS($F45))))+SUMIF(INICIO,$B45,R_IM),0))</f>
      </c>
      <c r="AL45" s="273">
        <f>IF(B45="","",SQRT(AJ45^2+AK45^2))</f>
      </c>
      <c r="AM45" s="40">
        <f>IF(B45="","",I45*IF($H$14="Sí",IF(OR($D45="S",$D45="RST"),IF($D$2="Sí",IF($G45="Motor",$D$6*$W45/(BC45^2),$W45/$D$6)*($AX45*$F45+$AY45*SIN(ACOS($F45))),-$W45*$F45/2-SQRT(3)/2*$W45*SIN(ACOS($F45))))+SUMIF(INICIO,$B45,S_RE),0))</f>
      </c>
      <c r="AN45" s="40">
        <f>IF(B45="","",I45*IF($H$14="Sí",IF(OR($D45="S",$D45="RST"),IF($D$2="Sí",IF($G45="Motor",$D$6*$W45/(BC45^2),$W45/$D$6)*($AY45*$F45-$AX45*SIN(ACOS($F45))),-SQRT(3)/2*$W45*$F45+0.5*$W45*SIN(ACOS($F45))))+SUMIF(INICIO,$B45,S_IM),0))</f>
      </c>
      <c r="AO45" s="273">
        <f>IF(B45="","",SQRT(AM45^2+AN45^2))</f>
      </c>
      <c r="AP45" s="40">
        <f>IF(B45="","",I45*IF($I$14="Sí",IF(OR($D45="T",$D45="RST"),IF($D$2="Sí",IF($G45="Motor",$D$6*$W45/(BD45^2),$W45/$D$6)*($AZ45*$F45+$BA45*SIN(ACOS($F45))),-$W45*$F45/2+SQRT(3)/2*$W45*SIN(ACOS($F45))))+SUMIF(INICIO,$B45,T_RE),0))</f>
      </c>
      <c r="AQ45" s="272">
        <f>IF(B45="","",I45*IF($I$14="Sí",IF(OR($D45="T",$D45="RST"),IF($D$2="Sí",IF($G45="Motor",$D$6*$W45/(BD45^2),$W45/$D$6)*($BA45*$F45-$AZ45*SIN(ACOS($F45))),SQRT(3)/2*$W45*$F45+0.5*$W45*SIN(ACOS($F45))))+SUMIF(INICIO,$B45,T_IM),0))</f>
      </c>
      <c r="AR45" s="40">
        <f>IF(B45="","",SQRT(AP45^2+AQ45^2))</f>
      </c>
      <c r="AS45" s="40">
        <f>IF(B45="","",AJ45+AM45+AP45)</f>
      </c>
      <c r="AT45" s="40">
        <f>IF(B45="","",AK45+AN45+AQ45)</f>
      </c>
      <c r="AU45" s="40">
        <f>IF(B45="","",SQRT(AS45^2+AT45^2))</f>
      </c>
      <c r="AV45" s="73">
        <f>IF(B45="","",SUMIF(FINAL,$A45,ac_R_Re)-($X45*$AJ45-$AB45*$AK45)-($AA45*$AS45-$AC45*$AT45))</f>
      </c>
      <c r="AW45" s="73">
        <f>IF(B45="","",SUMIF(FINAL,$A45,ac_R_Im)-($X45*$AK45+$AB45*$AJ45)-($AA45*$AT45+$AC45*$AS45))</f>
      </c>
      <c r="AX45" s="73">
        <f>IF(B45="","",SUMIF(FINAL,$A45,ac_S_Re)-($Y45*$AM45-$AB45*$AN45)-($AA45*$AS45-$AC45*$AT45))</f>
      </c>
      <c r="AY45" s="73">
        <f>IF(B45="","",SUMIF(FINAL,$A45,ac_S_Im)-($Y45*$AN45+$AB45*$AM45)-($AA45*$AT45+$AC45*$AS45))</f>
      </c>
      <c r="AZ45" s="73">
        <f>IF(B45="","",SUMIF(FINAL,$A45,ac_T_Re)-($Z45*$AP45-$AB45*$AQ45)-($AA45*$AS45-$AC45*$AT45))</f>
      </c>
      <c r="BA45" s="73">
        <f>IF(B45="","",SUMIF(FINAL,$A45,ac_T_Im)-($Z45*$AQ45+$AB45*$AP45)-($AA45*$AT45+$AC45*$AS45))</f>
      </c>
      <c r="BB45" s="73">
        <f>IF(B45="","",SQRT(AV45^2+AW45^2))</f>
      </c>
      <c r="BC45" s="73">
        <f>IF(B45="","",SQRT(AX45^2+AY45^2))</f>
      </c>
      <c r="BD45" s="73">
        <f>IF(B45="","",SQRT(AZ45^2+BA45^2))</f>
      </c>
      <c r="BE45" s="73">
        <f>IF(B45="","",SQRT((AV45-AX45)^2+(AW45-AY45)^2))</f>
      </c>
      <c r="BF45" s="73">
        <f>IF(B45="","",SQRT((AX45-AZ45)^2+(AY45-BA45)^2))</f>
      </c>
      <c r="BG45" s="73">
        <f>IF(B45="","",SQRT((AZ45-AV45)^2+(BA45-AW45)^2))</f>
      </c>
      <c r="BH45" s="73">
        <f>IF(B45="","",100*($D$6-BB45)/$D$6)</f>
      </c>
      <c r="BI45" s="73">
        <f>IF(B45="","",100*($D$6-BC45)/$D$6)</f>
      </c>
      <c r="BJ45" s="73">
        <f>IF(B45="","",100*($D$6-BD45)/$D$6)</f>
      </c>
      <c r="BK45" s="40">
        <f>IF(B45="","",I45*(W45+SUMIF(INICIO,$B45,I_tramo)))</f>
      </c>
      <c r="BL45" s="40">
        <f>IF(B45="","",BK45-CC45+1.25*CC45)</f>
      </c>
      <c r="BM45" s="40">
        <f>IF(B45="","",SUMIF(FINAL,$A45,U_FINAL)-SQRT(3)*U45*CN45)</f>
      </c>
      <c r="BN45" s="40">
        <f>IF(B45="","",100*($D$5-BM45)/$D$5)</f>
      </c>
      <c r="BO45" s="40">
        <f>IF(B45="","",MAX(CR45:CT45)-CC45+1.25*CC45)</f>
      </c>
      <c r="BP45" s="40">
        <f>IF(B45="","",SUMIF(FINAL,$A45,U_FINAL_R)-SQRT(3)*U45*CX45)</f>
      </c>
      <c r="BQ45" s="40">
        <f>IF(B45="","",100*($D$5-BP45)/$D$5)</f>
      </c>
      <c r="BR45" s="40">
        <f>IF(B45="","",SUMIF(FINAL,$A45,U_FINAL_S)-SQRT(3)*U45*CY45)</f>
      </c>
      <c r="BS45" s="40">
        <f>IF(B45="","",100*($D$5-BR45)/$D$5)</f>
      </c>
      <c r="BT45" s="40">
        <f>IF(B45="","",SUMIF(FINAL,$A45,U_FINAL_T)-SQRT(3)*U45*CZ45)</f>
      </c>
      <c r="BU45" s="40">
        <f>IF(B45="","",100*($D$5-BT45)/$D$5)</f>
      </c>
      <c r="BV45" s="75">
        <f>IF(B45="","",U45+SUMIF(FINAL,$A45,R_FINAL))</f>
      </c>
      <c r="BW45" s="75">
        <f>IF(B45="","",AB45+SUMIF(FINAL,$A45,X_FINAL))</f>
      </c>
      <c r="BX45" s="40">
        <f>IF(B45="","",$D$6/SQRT((BV45-U45)^2+(BW45-AB45+$S$12)^2)/1000)</f>
      </c>
      <c r="BY45" s="40">
        <f>IF(B45="","",SUMIF(Tipo_cable,J45,Constante_k)*K45/SQRT(IF(BZ45="",0.7,BZ45))/1000)</f>
      </c>
      <c r="BZ45" s="61"/>
      <c r="CA45" s="73">
        <f t="shared" si="43"/>
      </c>
      <c r="CB45" s="84"/>
      <c r="CC45" s="73">
        <f t="shared" si="44"/>
      </c>
      <c r="CD45" s="73">
        <f t="shared" si="85"/>
      </c>
      <c r="CE45" s="73">
        <f t="shared" si="86"/>
      </c>
      <c r="CF45" s="73">
        <f t="shared" si="87"/>
      </c>
      <c r="CG45" s="73">
        <f t="shared" si="48"/>
      </c>
      <c r="CH45" s="73">
        <f t="shared" si="49"/>
      </c>
      <c r="CI45" s="73">
        <f t="shared" si="50"/>
      </c>
      <c r="CJ45" s="76">
        <f t="shared" si="51"/>
      </c>
      <c r="CK45" s="76">
        <f t="shared" si="76"/>
      </c>
      <c r="CL45" s="76">
        <f t="shared" si="77"/>
      </c>
      <c r="CM45" s="76">
        <f t="shared" si="78"/>
      </c>
      <c r="CN45" s="40">
        <f t="shared" si="7"/>
      </c>
      <c r="CO45" s="40">
        <f t="shared" si="88"/>
      </c>
      <c r="CP45" s="40">
        <f t="shared" si="89"/>
      </c>
      <c r="CQ45" s="40">
        <f t="shared" si="90"/>
      </c>
      <c r="CR45" s="40">
        <f t="shared" si="91"/>
      </c>
      <c r="CS45" s="40">
        <f>IF($B45="","",I45*IF($H$14="Sí",IF(OR($D45="S",$D45="RST"),$W45)+SUMIF(INICIO,$B45,I_tramoS),0))</f>
      </c>
      <c r="CT45" s="40">
        <f>IF($B45="","",I45*IF($I$14="Sí",IF(OR($D45="T",$D45="RST"),$W45)+SUMIF(INICIO,$B45,I_tramoT),0))</f>
      </c>
      <c r="CU45" s="40">
        <f t="shared" si="93"/>
      </c>
      <c r="CV45" s="40">
        <f t="shared" si="94"/>
      </c>
      <c r="CW45" s="40">
        <f t="shared" si="95"/>
      </c>
      <c r="CX45" s="40">
        <f>IF($B45="","",I45*IF($G$14="Sí",IF(OR($D45="R",$D45="RST"),$W45*F45)+SUMIF(INICIO,$B45,IR_cosfi),0))</f>
      </c>
      <c r="CY45" s="40">
        <f>IF($B45="","",I45*IF($H$14="Sí",IF(OR($D45="S",$D45="RST"),$W45*F45)+SUMIF(INICIO,$B45,IS_cosfi),0))</f>
      </c>
      <c r="CZ45" s="40">
        <f>IF($B45="","",I45*IF($I$14="Sí",IF(OR($D45="T",$D45="RST"),$W45*F45)+SUMIF(INICIO,$B45,IT_cosfi),0))</f>
      </c>
      <c r="DA45" s="40">
        <f t="shared" si="60"/>
      </c>
    </row>
    <row r="46" spans="1:105" ht="12.75">
      <c r="A46" s="61"/>
      <c r="B46" s="61"/>
      <c r="C46" s="61"/>
      <c r="D46" s="61"/>
      <c r="E46" s="61"/>
      <c r="F46" s="61"/>
      <c r="G46" s="61"/>
      <c r="H46" s="120"/>
      <c r="I46" s="61"/>
      <c r="J46" s="61"/>
      <c r="K46" s="61"/>
      <c r="L46" s="61"/>
      <c r="M46" s="61"/>
      <c r="N46" s="61"/>
      <c r="O46" s="61"/>
      <c r="P46" s="61"/>
      <c r="Q46" s="120"/>
      <c r="R46" s="120"/>
      <c r="S46" s="120"/>
      <c r="T46" s="120"/>
      <c r="U46" s="72">
        <f t="shared" si="84"/>
      </c>
      <c r="V46" s="72">
        <f t="shared" si="12"/>
      </c>
      <c r="W46" s="73">
        <f t="shared" si="13"/>
      </c>
      <c r="X46" s="72">
        <f t="shared" si="14"/>
      </c>
      <c r="Y46" s="72">
        <f t="shared" si="15"/>
      </c>
      <c r="Z46" s="72">
        <f t="shared" si="16"/>
      </c>
      <c r="AA46" s="72">
        <f t="shared" si="17"/>
      </c>
      <c r="AB46" s="72">
        <f t="shared" si="18"/>
      </c>
      <c r="AC46" s="72">
        <f t="shared" si="19"/>
      </c>
      <c r="AD46" s="74">
        <f t="shared" si="20"/>
      </c>
      <c r="AE46" s="73">
        <f t="shared" si="61"/>
      </c>
      <c r="AF46" s="40">
        <f t="shared" si="62"/>
      </c>
      <c r="AG46" s="40">
        <f t="shared" si="98"/>
      </c>
      <c r="AH46" s="40">
        <f t="shared" si="22"/>
      </c>
      <c r="AI46" s="270">
        <f t="shared" si="23"/>
      </c>
      <c r="AJ46" s="40">
        <f>IF($B46="","",I46*IF($G$14="Sí",IF(OR($D46="R",$D46="RST"),IF($D$2="Sí",IF($G46="Motor",$D$6*$W46/(BB46^2),$W46/$D$6)*($AV46*$F46+$AW46*SIN(ACOS($F46))),$W46*$F46))+SUMIF(INICIO,$B46,R_RE),0))</f>
      </c>
      <c r="AK46" s="40">
        <f>IF(B46="","",I46*IF($G$14="Sí",IF(OR($D46="R",$D46="RST"),IF($D$2="Sí",IF($G46="Motor",$D$6*$W46/(BB46^2),$W46/$D$6)*($AW46*$F46-$AV46*SIN(ACOS($F46))),-$W46*SIN(ACOS($F46))))+SUMIF(INICIO,$B46,R_IM),0))</f>
      </c>
      <c r="AL46" s="273">
        <f t="shared" si="24"/>
      </c>
      <c r="AM46" s="40">
        <f>IF(B46="","",I46*IF($H$14="Sí",IF(OR($D46="S",$D46="RST"),IF($D$2="Sí",IF($G46="Motor",$D$6*$W46/(BC46^2),$W46/$D$6)*($AX46*$F46+$AY46*SIN(ACOS($F46))),-$W46*$F46/2-SQRT(3)/2*$W46*SIN(ACOS($F46))))+SUMIF(INICIO,$B46,S_RE),0))</f>
      </c>
      <c r="AN46" s="40">
        <f>IF(B46="","",I46*IF($H$14="Sí",IF(OR($D46="S",$D46="RST"),IF($D$2="Sí",IF($G46="Motor",$D$6*$W46/(BC46^2),$W46/$D$6)*($AY46*$F46-$AX46*SIN(ACOS($F46))),-SQRT(3)/2*$W46*$F46+0.5*$W46*SIN(ACOS($F46))))+SUMIF(INICIO,$B46,S_IM),0))</f>
      </c>
      <c r="AO46" s="273">
        <f t="shared" si="25"/>
      </c>
      <c r="AP46" s="40">
        <f>IF(B46="","",I46*IF($I$14="Sí",IF(OR($D46="T",$D46="RST"),IF($D$2="Sí",IF($G46="Motor",$D$6*$W46/(BD46^2),$W46/$D$6)*($AZ46*$F46+$BA46*SIN(ACOS($F46))),-$W46*$F46/2+SQRT(3)/2*$W46*SIN(ACOS($F46))))+SUMIF(INICIO,$B46,T_RE),0))</f>
      </c>
      <c r="AQ46" s="272">
        <f>IF(B46="","",I46*IF($I$14="Sí",IF(OR($D46="T",$D46="RST"),IF($D$2="Sí",IF($G46="Motor",$D$6*$W46/(BD46^2),$W46/$D$6)*($BA46*$F46-$AZ46*SIN(ACOS($F46))),SQRT(3)/2*$W46*$F46+0.5*$W46*SIN(ACOS($F46))))+SUMIF(INICIO,$B46,T_IM),0))</f>
      </c>
      <c r="AR46" s="40">
        <f t="shared" si="26"/>
      </c>
      <c r="AS46" s="40">
        <f t="shared" si="27"/>
      </c>
      <c r="AT46" s="40">
        <f t="shared" si="28"/>
      </c>
      <c r="AU46" s="40">
        <f t="shared" si="29"/>
      </c>
      <c r="AV46" s="73">
        <f t="shared" si="63"/>
      </c>
      <c r="AW46" s="73">
        <f t="shared" si="64"/>
      </c>
      <c r="AX46" s="73">
        <f t="shared" si="65"/>
      </c>
      <c r="AY46" s="73">
        <f t="shared" si="66"/>
      </c>
      <c r="AZ46" s="73">
        <f t="shared" si="67"/>
      </c>
      <c r="BA46" s="73">
        <f t="shared" si="68"/>
      </c>
      <c r="BB46" s="73">
        <f t="shared" si="69"/>
      </c>
      <c r="BC46" s="73">
        <f t="shared" si="70"/>
      </c>
      <c r="BD46" s="73">
        <f t="shared" si="71"/>
      </c>
      <c r="BE46" s="73">
        <f t="shared" si="30"/>
      </c>
      <c r="BF46" s="73">
        <f t="shared" si="31"/>
      </c>
      <c r="BG46" s="73">
        <f t="shared" si="32"/>
      </c>
      <c r="BH46" s="73">
        <f t="shared" si="33"/>
      </c>
      <c r="BI46" s="73">
        <f t="shared" si="96"/>
      </c>
      <c r="BJ46" s="73">
        <f t="shared" si="97"/>
      </c>
      <c r="BK46" s="40">
        <f t="shared" si="72"/>
      </c>
      <c r="BL46" s="40">
        <f t="shared" si="73"/>
      </c>
      <c r="BM46" s="40">
        <f t="shared" si="74"/>
      </c>
      <c r="BN46" s="40">
        <f t="shared" si="34"/>
      </c>
      <c r="BO46" s="40">
        <f t="shared" si="5"/>
      </c>
      <c r="BP46" s="40">
        <f t="shared" si="35"/>
      </c>
      <c r="BQ46" s="40">
        <f t="shared" si="36"/>
      </c>
      <c r="BR46" s="40">
        <f t="shared" si="37"/>
      </c>
      <c r="BS46" s="40">
        <f t="shared" si="75"/>
      </c>
      <c r="BT46" s="40">
        <f aca="true" t="shared" si="99" ref="BT46:BT53">IF(B46="","",SUMIF(FINAL,$A46,U_FINAL_T)-SQRT(3)*U46*CZ46)</f>
      </c>
      <c r="BU46" s="40">
        <f t="shared" si="39"/>
      </c>
      <c r="BV46" s="75">
        <f t="shared" si="40"/>
      </c>
      <c r="BW46" s="75">
        <f t="shared" si="41"/>
      </c>
      <c r="BX46" s="40">
        <f t="shared" si="6"/>
      </c>
      <c r="BY46" s="40">
        <f t="shared" si="42"/>
      </c>
      <c r="BZ46" s="61"/>
      <c r="CA46" s="73">
        <f t="shared" si="43"/>
      </c>
      <c r="CB46" s="84"/>
      <c r="CC46" s="73">
        <f t="shared" si="44"/>
      </c>
      <c r="CD46" s="73">
        <f t="shared" si="85"/>
      </c>
      <c r="CE46" s="73">
        <f t="shared" si="86"/>
      </c>
      <c r="CF46" s="73">
        <f t="shared" si="87"/>
      </c>
      <c r="CG46" s="73">
        <f t="shared" si="48"/>
      </c>
      <c r="CH46" s="73">
        <f t="shared" si="49"/>
      </c>
      <c r="CI46" s="73">
        <f t="shared" si="50"/>
      </c>
      <c r="CJ46" s="76">
        <f t="shared" si="51"/>
      </c>
      <c r="CK46" s="76">
        <f t="shared" si="76"/>
      </c>
      <c r="CL46" s="76">
        <f t="shared" si="77"/>
      </c>
      <c r="CM46" s="76">
        <f t="shared" si="78"/>
      </c>
      <c r="CN46" s="40">
        <f t="shared" si="7"/>
      </c>
      <c r="CO46" s="40">
        <f t="shared" si="88"/>
      </c>
      <c r="CP46" s="40">
        <f t="shared" si="89"/>
      </c>
      <c r="CQ46" s="40">
        <f t="shared" si="90"/>
      </c>
      <c r="CR46" s="40">
        <f t="shared" si="91"/>
      </c>
      <c r="CS46" s="40">
        <f t="shared" si="81"/>
      </c>
      <c r="CT46" s="40">
        <f t="shared" si="55"/>
      </c>
      <c r="CU46" s="40">
        <f t="shared" si="93"/>
      </c>
      <c r="CV46" s="40">
        <f t="shared" si="94"/>
      </c>
      <c r="CW46" s="40">
        <f t="shared" si="95"/>
      </c>
      <c r="CX46" s="40">
        <f t="shared" si="82"/>
      </c>
      <c r="CY46" s="40">
        <f t="shared" si="83"/>
      </c>
      <c r="CZ46" s="40">
        <f t="shared" si="92"/>
      </c>
      <c r="DA46" s="40">
        <f t="shared" si="60"/>
      </c>
    </row>
    <row r="47" spans="1:105" ht="12.75">
      <c r="A47" s="61"/>
      <c r="B47" s="61"/>
      <c r="C47" s="61"/>
      <c r="D47" s="61"/>
      <c r="E47" s="61"/>
      <c r="F47" s="61"/>
      <c r="G47" s="61"/>
      <c r="H47" s="120"/>
      <c r="I47" s="61"/>
      <c r="J47" s="61"/>
      <c r="K47" s="61"/>
      <c r="L47" s="61"/>
      <c r="M47" s="61"/>
      <c r="N47" s="61"/>
      <c r="O47" s="61"/>
      <c r="P47" s="61"/>
      <c r="Q47" s="120"/>
      <c r="R47" s="120"/>
      <c r="S47" s="120"/>
      <c r="T47" s="120"/>
      <c r="U47" s="72">
        <f t="shared" si="84"/>
      </c>
      <c r="V47" s="72">
        <f t="shared" si="12"/>
      </c>
      <c r="W47" s="73">
        <f t="shared" si="13"/>
      </c>
      <c r="X47" s="72">
        <f t="shared" si="14"/>
      </c>
      <c r="Y47" s="72">
        <f t="shared" si="15"/>
      </c>
      <c r="Z47" s="72">
        <f t="shared" si="16"/>
      </c>
      <c r="AA47" s="72">
        <f t="shared" si="17"/>
      </c>
      <c r="AB47" s="72">
        <f t="shared" si="18"/>
      </c>
      <c r="AC47" s="72">
        <f t="shared" si="19"/>
      </c>
      <c r="AD47" s="74">
        <f t="shared" si="20"/>
      </c>
      <c r="AE47" s="73">
        <f t="shared" si="61"/>
      </c>
      <c r="AF47" s="40">
        <f t="shared" si="62"/>
      </c>
      <c r="AG47" s="40">
        <f t="shared" si="98"/>
      </c>
      <c r="AH47" s="40">
        <f t="shared" si="22"/>
      </c>
      <c r="AI47" s="270">
        <f t="shared" si="23"/>
      </c>
      <c r="AJ47" s="40">
        <f>IF($B47="","",I47*IF($G$14="Sí",IF(OR($D47="R",$D47="RST"),IF($D$2="Sí",IF($G47="Motor",$D$6*$W47/(BB47^2),$W47/$D$6)*($AV47*$F47+$AW47*SIN(ACOS($F47))),$W47*$F47))+SUMIF(INICIO,$B47,R_RE),0))</f>
      </c>
      <c r="AK47" s="40">
        <f>IF(B47="","",I47*IF($G$14="Sí",IF(OR($D47="R",$D47="RST"),IF($D$2="Sí",IF($G47="Motor",$D$6*$W47/(BB47^2),$W47/$D$6)*($AW47*$F47-$AV47*SIN(ACOS($F47))),-$W47*SIN(ACOS($F47))))+SUMIF(INICIO,$B47,R_IM),0))</f>
      </c>
      <c r="AL47" s="273">
        <f t="shared" si="24"/>
      </c>
      <c r="AM47" s="40">
        <f>IF(B47="","",I47*IF($H$14="Sí",IF(OR($D47="S",$D47="RST"),IF($D$2="Sí",IF($G47="Motor",$D$6*$W47/(BC47^2),$W47/$D$6)*($AX47*$F47+$AY47*SIN(ACOS($F47))),-$W47*$F47/2-SQRT(3)/2*$W47*SIN(ACOS($F47))))+SUMIF(INICIO,$B47,S_RE),0))</f>
      </c>
      <c r="AN47" s="40">
        <f>IF(B47="","",I47*IF($H$14="Sí",IF(OR($D47="S",$D47="RST"),IF($D$2="Sí",IF($G47="Motor",$D$6*$W47/(BC47^2),$W47/$D$6)*($AY47*$F47-$AX47*SIN(ACOS($F47))),-SQRT(3)/2*$W47*$F47+0.5*$W47*SIN(ACOS($F47))))+SUMIF(INICIO,$B47,S_IM),0))</f>
      </c>
      <c r="AO47" s="273">
        <f t="shared" si="25"/>
      </c>
      <c r="AP47" s="40">
        <f>IF(B47="","",I47*IF($I$14="Sí",IF(OR($D47="T",$D47="RST"),IF($D$2="Sí",IF($G47="Motor",$D$6*$W47/(BD47^2),$W47/$D$6)*($AZ47*$F47+$BA47*SIN(ACOS($F47))),-$W47*$F47/2+SQRT(3)/2*$W47*SIN(ACOS($F47))))+SUMIF(INICIO,$B47,T_RE),0))</f>
      </c>
      <c r="AQ47" s="272">
        <f>IF(B47="","",I47*IF($I$14="Sí",IF(OR($D47="T",$D47="RST"),IF($D$2="Sí",IF($G47="Motor",$D$6*$W47/(BD47^2),$W47/$D$6)*($BA47*$F47-$AZ47*SIN(ACOS($F47))),SQRT(3)/2*$W47*$F47+0.5*$W47*SIN(ACOS($F47))))+SUMIF(INICIO,$B47,T_IM),0))</f>
      </c>
      <c r="AR47" s="40">
        <f t="shared" si="26"/>
      </c>
      <c r="AS47" s="40">
        <f t="shared" si="27"/>
      </c>
      <c r="AT47" s="40">
        <f t="shared" si="28"/>
      </c>
      <c r="AU47" s="40">
        <f t="shared" si="29"/>
      </c>
      <c r="AV47" s="73">
        <f t="shared" si="63"/>
      </c>
      <c r="AW47" s="73">
        <f t="shared" si="64"/>
      </c>
      <c r="AX47" s="73">
        <f t="shared" si="65"/>
      </c>
      <c r="AY47" s="73">
        <f t="shared" si="66"/>
      </c>
      <c r="AZ47" s="73">
        <f t="shared" si="67"/>
      </c>
      <c r="BA47" s="73">
        <f t="shared" si="68"/>
      </c>
      <c r="BB47" s="73">
        <f t="shared" si="69"/>
      </c>
      <c r="BC47" s="73">
        <f t="shared" si="70"/>
      </c>
      <c r="BD47" s="73">
        <f t="shared" si="71"/>
      </c>
      <c r="BE47" s="73">
        <f t="shared" si="30"/>
      </c>
      <c r="BF47" s="73">
        <f t="shared" si="31"/>
      </c>
      <c r="BG47" s="73">
        <f t="shared" si="32"/>
      </c>
      <c r="BH47" s="73">
        <f t="shared" si="33"/>
      </c>
      <c r="BI47" s="73">
        <f t="shared" si="96"/>
      </c>
      <c r="BJ47" s="73">
        <f t="shared" si="97"/>
      </c>
      <c r="BK47" s="40">
        <f t="shared" si="72"/>
      </c>
      <c r="BL47" s="40">
        <f t="shared" si="73"/>
      </c>
      <c r="BM47" s="40">
        <f t="shared" si="74"/>
      </c>
      <c r="BN47" s="40">
        <f t="shared" si="34"/>
      </c>
      <c r="BO47" s="40">
        <f t="shared" si="5"/>
      </c>
      <c r="BP47" s="40">
        <f t="shared" si="35"/>
      </c>
      <c r="BQ47" s="40">
        <f t="shared" si="36"/>
      </c>
      <c r="BR47" s="40">
        <f t="shared" si="37"/>
      </c>
      <c r="BS47" s="40">
        <f t="shared" si="75"/>
      </c>
      <c r="BT47" s="40">
        <f t="shared" si="99"/>
      </c>
      <c r="BU47" s="40">
        <f t="shared" si="39"/>
      </c>
      <c r="BV47" s="75">
        <f t="shared" si="40"/>
      </c>
      <c r="BW47" s="75">
        <f t="shared" si="41"/>
      </c>
      <c r="BX47" s="40">
        <f t="shared" si="6"/>
      </c>
      <c r="BY47" s="40">
        <f t="shared" si="42"/>
      </c>
      <c r="BZ47" s="61"/>
      <c r="CA47" s="73">
        <f t="shared" si="43"/>
      </c>
      <c r="CB47" s="84"/>
      <c r="CC47" s="73">
        <f t="shared" si="44"/>
      </c>
      <c r="CD47" s="73">
        <f t="shared" si="85"/>
      </c>
      <c r="CE47" s="73">
        <f t="shared" si="86"/>
      </c>
      <c r="CF47" s="73">
        <f t="shared" si="87"/>
      </c>
      <c r="CG47" s="73">
        <f t="shared" si="48"/>
      </c>
      <c r="CH47" s="73">
        <f t="shared" si="49"/>
      </c>
      <c r="CI47" s="73">
        <f t="shared" si="50"/>
      </c>
      <c r="CJ47" s="76">
        <f t="shared" si="51"/>
      </c>
      <c r="CK47" s="76">
        <f t="shared" si="76"/>
      </c>
      <c r="CL47" s="76">
        <f t="shared" si="77"/>
      </c>
      <c r="CM47" s="76">
        <f t="shared" si="78"/>
      </c>
      <c r="CN47" s="40">
        <f t="shared" si="7"/>
      </c>
      <c r="CO47" s="40">
        <f t="shared" si="88"/>
      </c>
      <c r="CP47" s="40">
        <f t="shared" si="89"/>
      </c>
      <c r="CQ47" s="40">
        <f t="shared" si="90"/>
      </c>
      <c r="CR47" s="40">
        <f t="shared" si="91"/>
      </c>
      <c r="CS47" s="40">
        <f t="shared" si="81"/>
      </c>
      <c r="CT47" s="40">
        <f t="shared" si="55"/>
      </c>
      <c r="CU47" s="40">
        <f t="shared" si="93"/>
      </c>
      <c r="CV47" s="40">
        <f t="shared" si="94"/>
      </c>
      <c r="CW47" s="40">
        <f t="shared" si="95"/>
      </c>
      <c r="CX47" s="40">
        <f t="shared" si="82"/>
      </c>
      <c r="CY47" s="40">
        <f t="shared" si="83"/>
      </c>
      <c r="CZ47" s="40">
        <f t="shared" si="92"/>
      </c>
      <c r="DA47" s="40">
        <f t="shared" si="60"/>
      </c>
    </row>
    <row r="48" spans="1:105" ht="12.75">
      <c r="A48" s="61"/>
      <c r="B48" s="61"/>
      <c r="C48" s="61"/>
      <c r="D48" s="61"/>
      <c r="E48" s="61"/>
      <c r="F48" s="61"/>
      <c r="G48" s="61"/>
      <c r="H48" s="120"/>
      <c r="I48" s="61"/>
      <c r="J48" s="61"/>
      <c r="K48" s="61"/>
      <c r="L48" s="61"/>
      <c r="M48" s="61"/>
      <c r="N48" s="61"/>
      <c r="O48" s="61"/>
      <c r="P48" s="61"/>
      <c r="Q48" s="120"/>
      <c r="R48" s="120"/>
      <c r="S48" s="120"/>
      <c r="T48" s="120"/>
      <c r="U48" s="72">
        <f t="shared" si="84"/>
      </c>
      <c r="V48" s="72">
        <f t="shared" si="12"/>
      </c>
      <c r="W48" s="73">
        <f t="shared" si="13"/>
      </c>
      <c r="X48" s="72">
        <f t="shared" si="14"/>
      </c>
      <c r="Y48" s="72">
        <f t="shared" si="15"/>
      </c>
      <c r="Z48" s="72">
        <f t="shared" si="16"/>
      </c>
      <c r="AA48" s="72">
        <f t="shared" si="17"/>
      </c>
      <c r="AB48" s="72">
        <f t="shared" si="18"/>
      </c>
      <c r="AC48" s="72">
        <f t="shared" si="19"/>
      </c>
      <c r="AD48" s="74">
        <f t="shared" si="20"/>
      </c>
      <c r="AE48" s="73">
        <f t="shared" si="61"/>
      </c>
      <c r="AF48" s="40">
        <f t="shared" si="62"/>
      </c>
      <c r="AG48" s="40">
        <f t="shared" si="98"/>
      </c>
      <c r="AH48" s="40">
        <f t="shared" si="22"/>
      </c>
      <c r="AI48" s="270">
        <f t="shared" si="23"/>
      </c>
      <c r="AJ48" s="40">
        <f>IF($B48="","",I48*IF($G$14="Sí",IF(OR($D48="R",$D48="RST"),IF($D$2="Sí",IF($G48="Motor",$D$6*$W48/(BB48^2),$W48/$D$6)*($AV48*$F48+$AW48*SIN(ACOS($F48))),$W48*$F48))+SUMIF(INICIO,$B48,R_RE),0))</f>
      </c>
      <c r="AK48" s="40">
        <f>IF(B48="","",I48*IF($G$14="Sí",IF(OR($D48="R",$D48="RST"),IF($D$2="Sí",IF($G48="Motor",$D$6*$W48/(BB48^2),$W48/$D$6)*($AW48*$F48-$AV48*SIN(ACOS($F48))),-$W48*SIN(ACOS($F48))))+SUMIF(INICIO,$B48,R_IM),0))</f>
      </c>
      <c r="AL48" s="273">
        <f t="shared" si="24"/>
      </c>
      <c r="AM48" s="40">
        <f>IF(B48="","",I48*IF($H$14="Sí",IF(OR($D48="S",$D48="RST"),IF($D$2="Sí",IF($G48="Motor",$D$6*$W48/(BC48^2),$W48/$D$6)*($AX48*$F48+$AY48*SIN(ACOS($F48))),-$W48*$F48/2-SQRT(3)/2*$W48*SIN(ACOS($F48))))+SUMIF(INICIO,$B48,S_RE),0))</f>
      </c>
      <c r="AN48" s="40">
        <f>IF(B48="","",I48*IF($H$14="Sí",IF(OR($D48="S",$D48="RST"),IF($D$2="Sí",IF($G48="Motor",$D$6*$W48/(BC48^2),$W48/$D$6)*($AY48*$F48-$AX48*SIN(ACOS($F48))),-SQRT(3)/2*$W48*$F48+0.5*$W48*SIN(ACOS($F48))))+SUMIF(INICIO,$B48,S_IM),0))</f>
      </c>
      <c r="AO48" s="273">
        <f t="shared" si="25"/>
      </c>
      <c r="AP48" s="40">
        <f>IF(B48="","",I48*IF($I$14="Sí",IF(OR($D48="T",$D48="RST"),IF($D$2="Sí",IF($G48="Motor",$D$6*$W48/(BD48^2),$W48/$D$6)*($AZ48*$F48+$BA48*SIN(ACOS($F48))),-$W48*$F48/2+SQRT(3)/2*$W48*SIN(ACOS($F48))))+SUMIF(INICIO,$B48,T_RE),0))</f>
      </c>
      <c r="AQ48" s="272">
        <f>IF(B48="","",I48*IF($I$14="Sí",IF(OR($D48="T",$D48="RST"),IF($D$2="Sí",IF($G48="Motor",$D$6*$W48/(BD48^2),$W48/$D$6)*($BA48*$F48-$AZ48*SIN(ACOS($F48))),SQRT(3)/2*$W48*$F48+0.5*$W48*SIN(ACOS($F48))))+SUMIF(INICIO,$B48,T_IM),0))</f>
      </c>
      <c r="AR48" s="40">
        <f t="shared" si="26"/>
      </c>
      <c r="AS48" s="40">
        <f t="shared" si="27"/>
      </c>
      <c r="AT48" s="40">
        <f t="shared" si="28"/>
      </c>
      <c r="AU48" s="40">
        <f t="shared" si="29"/>
      </c>
      <c r="AV48" s="73">
        <f t="shared" si="63"/>
      </c>
      <c r="AW48" s="73">
        <f t="shared" si="64"/>
      </c>
      <c r="AX48" s="73">
        <f t="shared" si="65"/>
      </c>
      <c r="AY48" s="73">
        <f t="shared" si="66"/>
      </c>
      <c r="AZ48" s="73">
        <f t="shared" si="67"/>
      </c>
      <c r="BA48" s="73">
        <f t="shared" si="68"/>
      </c>
      <c r="BB48" s="73">
        <f t="shared" si="69"/>
      </c>
      <c r="BC48" s="73">
        <f t="shared" si="70"/>
      </c>
      <c r="BD48" s="73">
        <f t="shared" si="71"/>
      </c>
      <c r="BE48" s="73">
        <f t="shared" si="30"/>
      </c>
      <c r="BF48" s="73">
        <f t="shared" si="31"/>
      </c>
      <c r="BG48" s="73">
        <f t="shared" si="32"/>
      </c>
      <c r="BH48" s="73">
        <f t="shared" si="33"/>
      </c>
      <c r="BI48" s="73">
        <f t="shared" si="96"/>
      </c>
      <c r="BJ48" s="73">
        <f t="shared" si="97"/>
      </c>
      <c r="BK48" s="40">
        <f t="shared" si="72"/>
      </c>
      <c r="BL48" s="40">
        <f t="shared" si="73"/>
      </c>
      <c r="BM48" s="40">
        <f t="shared" si="74"/>
      </c>
      <c r="BN48" s="40">
        <f t="shared" si="34"/>
      </c>
      <c r="BO48" s="40">
        <f t="shared" si="5"/>
      </c>
      <c r="BP48" s="40">
        <f t="shared" si="35"/>
      </c>
      <c r="BQ48" s="40">
        <f t="shared" si="36"/>
      </c>
      <c r="BR48" s="40">
        <f t="shared" si="37"/>
      </c>
      <c r="BS48" s="40">
        <f t="shared" si="75"/>
      </c>
      <c r="BT48" s="40">
        <f t="shared" si="99"/>
      </c>
      <c r="BU48" s="40">
        <f t="shared" si="39"/>
      </c>
      <c r="BV48" s="75">
        <f t="shared" si="40"/>
      </c>
      <c r="BW48" s="75">
        <f t="shared" si="41"/>
      </c>
      <c r="BX48" s="40">
        <f t="shared" si="6"/>
      </c>
      <c r="BY48" s="40">
        <f t="shared" si="42"/>
      </c>
      <c r="BZ48" s="61"/>
      <c r="CA48" s="73">
        <f t="shared" si="43"/>
      </c>
      <c r="CB48" s="84"/>
      <c r="CC48" s="73">
        <f t="shared" si="44"/>
      </c>
      <c r="CD48" s="73">
        <f t="shared" si="85"/>
      </c>
      <c r="CE48" s="73">
        <f t="shared" si="86"/>
      </c>
      <c r="CF48" s="73">
        <f t="shared" si="87"/>
      </c>
      <c r="CG48" s="73">
        <f t="shared" si="48"/>
      </c>
      <c r="CH48" s="73">
        <f t="shared" si="49"/>
      </c>
      <c r="CI48" s="73">
        <f t="shared" si="50"/>
      </c>
      <c r="CJ48" s="76">
        <f t="shared" si="51"/>
      </c>
      <c r="CK48" s="76">
        <f t="shared" si="76"/>
      </c>
      <c r="CL48" s="76">
        <f t="shared" si="77"/>
      </c>
      <c r="CM48" s="76">
        <f t="shared" si="78"/>
      </c>
      <c r="CN48" s="40">
        <f t="shared" si="7"/>
      </c>
      <c r="CO48" s="40">
        <f t="shared" si="88"/>
      </c>
      <c r="CP48" s="40">
        <f t="shared" si="89"/>
      </c>
      <c r="CQ48" s="40">
        <f t="shared" si="90"/>
      </c>
      <c r="CR48" s="40">
        <f t="shared" si="91"/>
      </c>
      <c r="CS48" s="40">
        <f t="shared" si="81"/>
      </c>
      <c r="CT48" s="40">
        <f t="shared" si="55"/>
      </c>
      <c r="CU48" s="40">
        <f t="shared" si="93"/>
      </c>
      <c r="CV48" s="40">
        <f t="shared" si="94"/>
      </c>
      <c r="CW48" s="40">
        <f t="shared" si="95"/>
      </c>
      <c r="CX48" s="40">
        <f t="shared" si="82"/>
      </c>
      <c r="CY48" s="40">
        <f t="shared" si="83"/>
      </c>
      <c r="CZ48" s="40">
        <f t="shared" si="92"/>
      </c>
      <c r="DA48" s="40">
        <f t="shared" si="60"/>
      </c>
    </row>
    <row r="49" spans="1:105" ht="12.75">
      <c r="A49" s="61"/>
      <c r="B49" s="61"/>
      <c r="C49" s="61"/>
      <c r="D49" s="61"/>
      <c r="E49" s="61"/>
      <c r="F49" s="61"/>
      <c r="G49" s="61"/>
      <c r="H49" s="120"/>
      <c r="I49" s="61"/>
      <c r="J49" s="61"/>
      <c r="K49" s="61"/>
      <c r="L49" s="61"/>
      <c r="M49" s="61"/>
      <c r="N49" s="61"/>
      <c r="O49" s="61"/>
      <c r="P49" s="61"/>
      <c r="Q49" s="120"/>
      <c r="R49" s="120"/>
      <c r="S49" s="120"/>
      <c r="T49" s="120"/>
      <c r="U49" s="72">
        <f t="shared" si="84"/>
      </c>
      <c r="V49" s="72">
        <f t="shared" si="12"/>
      </c>
      <c r="W49" s="73">
        <f t="shared" si="13"/>
      </c>
      <c r="X49" s="72">
        <f t="shared" si="14"/>
      </c>
      <c r="Y49" s="72">
        <f t="shared" si="15"/>
      </c>
      <c r="Z49" s="72">
        <f t="shared" si="16"/>
      </c>
      <c r="AA49" s="72">
        <f t="shared" si="17"/>
      </c>
      <c r="AB49" s="72">
        <f t="shared" si="18"/>
      </c>
      <c r="AC49" s="72">
        <f t="shared" si="19"/>
      </c>
      <c r="AD49" s="74">
        <f t="shared" si="20"/>
      </c>
      <c r="AE49" s="73">
        <f t="shared" si="61"/>
      </c>
      <c r="AF49" s="40">
        <f t="shared" si="62"/>
      </c>
      <c r="AG49" s="40">
        <f t="shared" si="98"/>
      </c>
      <c r="AH49" s="40">
        <f t="shared" si="22"/>
      </c>
      <c r="AI49" s="270">
        <f t="shared" si="23"/>
      </c>
      <c r="AJ49" s="40">
        <f>IF($B49="","",I49*IF($G$14="Sí",IF(OR($D49="R",$D49="RST"),IF($D$2="Sí",IF($G49="Motor",$D$6*$W49/(BB49^2),$W49/$D$6)*($AV49*$F49+$AW49*SIN(ACOS($F49))),$W49*$F49))+SUMIF(INICIO,$B49,R_RE),0))</f>
      </c>
      <c r="AK49" s="40">
        <f>IF(B49="","",I49*IF($G$14="Sí",IF(OR($D49="R",$D49="RST"),IF($D$2="Sí",IF($G49="Motor",$D$6*$W49/(BB49^2),$W49/$D$6)*($AW49*$F49-$AV49*SIN(ACOS($F49))),-$W49*SIN(ACOS($F49))))+SUMIF(INICIO,$B49,R_IM),0))</f>
      </c>
      <c r="AL49" s="273">
        <f t="shared" si="24"/>
      </c>
      <c r="AM49" s="40">
        <f>IF(B49="","",I49*IF($H$14="Sí",IF(OR($D49="S",$D49="RST"),IF($D$2="Sí",IF($G49="Motor",$D$6*$W49/(BC49^2),$W49/$D$6)*($AX49*$F49+$AY49*SIN(ACOS($F49))),-$W49*$F49/2-SQRT(3)/2*$W49*SIN(ACOS($F49))))+SUMIF(INICIO,$B49,S_RE),0))</f>
      </c>
      <c r="AN49" s="40">
        <f>IF(B49="","",I49*IF($H$14="Sí",IF(OR($D49="S",$D49="RST"),IF($D$2="Sí",IF($G49="Motor",$D$6*$W49/(BC49^2),$W49/$D$6)*($AY49*$F49-$AX49*SIN(ACOS($F49))),-SQRT(3)/2*$W49*$F49+0.5*$W49*SIN(ACOS($F49))))+SUMIF(INICIO,$B49,S_IM),0))</f>
      </c>
      <c r="AO49" s="273">
        <f t="shared" si="25"/>
      </c>
      <c r="AP49" s="40">
        <f>IF(B49="","",I49*IF($I$14="Sí",IF(OR($D49="T",$D49="RST"),IF($D$2="Sí",IF($G49="Motor",$D$6*$W49/(BD49^2),$W49/$D$6)*($AZ49*$F49+$BA49*SIN(ACOS($F49))),-$W49*$F49/2+SQRT(3)/2*$W49*SIN(ACOS($F49))))+SUMIF(INICIO,$B49,T_RE),0))</f>
      </c>
      <c r="AQ49" s="272">
        <f>IF(B49="","",I49*IF($I$14="Sí",IF(OR($D49="T",$D49="RST"),IF($D$2="Sí",IF($G49="Motor",$D$6*$W49/(BD49^2),$W49/$D$6)*($BA49*$F49-$AZ49*SIN(ACOS($F49))),SQRT(3)/2*$W49*$F49+0.5*$W49*SIN(ACOS($F49))))+SUMIF(INICIO,$B49,T_IM),0))</f>
      </c>
      <c r="AR49" s="40">
        <f t="shared" si="26"/>
      </c>
      <c r="AS49" s="40">
        <f t="shared" si="27"/>
      </c>
      <c r="AT49" s="40">
        <f t="shared" si="28"/>
      </c>
      <c r="AU49" s="40">
        <f t="shared" si="29"/>
      </c>
      <c r="AV49" s="73">
        <f t="shared" si="63"/>
      </c>
      <c r="AW49" s="73">
        <f t="shared" si="64"/>
      </c>
      <c r="AX49" s="73">
        <f t="shared" si="65"/>
      </c>
      <c r="AY49" s="73">
        <f t="shared" si="66"/>
      </c>
      <c r="AZ49" s="73">
        <f t="shared" si="67"/>
      </c>
      <c r="BA49" s="73">
        <f t="shared" si="68"/>
      </c>
      <c r="BB49" s="73">
        <f t="shared" si="69"/>
      </c>
      <c r="BC49" s="73">
        <f t="shared" si="70"/>
      </c>
      <c r="BD49" s="73">
        <f t="shared" si="71"/>
      </c>
      <c r="BE49" s="73">
        <f t="shared" si="30"/>
      </c>
      <c r="BF49" s="73">
        <f t="shared" si="31"/>
      </c>
      <c r="BG49" s="73">
        <f t="shared" si="32"/>
      </c>
      <c r="BH49" s="73">
        <f t="shared" si="33"/>
      </c>
      <c r="BI49" s="73">
        <f t="shared" si="96"/>
      </c>
      <c r="BJ49" s="73">
        <f t="shared" si="97"/>
      </c>
      <c r="BK49" s="40">
        <f t="shared" si="72"/>
      </c>
      <c r="BL49" s="40">
        <f t="shared" si="73"/>
      </c>
      <c r="BM49" s="40">
        <f t="shared" si="74"/>
      </c>
      <c r="BN49" s="40">
        <f t="shared" si="34"/>
      </c>
      <c r="BO49" s="40">
        <f t="shared" si="5"/>
      </c>
      <c r="BP49" s="40">
        <f t="shared" si="35"/>
      </c>
      <c r="BQ49" s="40">
        <f t="shared" si="36"/>
      </c>
      <c r="BR49" s="40">
        <f t="shared" si="37"/>
      </c>
      <c r="BS49" s="40">
        <f t="shared" si="75"/>
      </c>
      <c r="BT49" s="40">
        <f t="shared" si="99"/>
      </c>
      <c r="BU49" s="40">
        <f t="shared" si="39"/>
      </c>
      <c r="BV49" s="75">
        <f t="shared" si="40"/>
      </c>
      <c r="BW49" s="75">
        <f t="shared" si="41"/>
      </c>
      <c r="BX49" s="40">
        <f t="shared" si="6"/>
      </c>
      <c r="BY49" s="40">
        <f t="shared" si="42"/>
      </c>
      <c r="BZ49" s="61"/>
      <c r="CA49" s="73">
        <f t="shared" si="43"/>
      </c>
      <c r="CB49" s="84"/>
      <c r="CC49" s="73">
        <f t="shared" si="44"/>
      </c>
      <c r="CD49" s="73">
        <f t="shared" si="85"/>
      </c>
      <c r="CE49" s="73">
        <f t="shared" si="86"/>
      </c>
      <c r="CF49" s="73">
        <f t="shared" si="87"/>
      </c>
      <c r="CG49" s="73">
        <f t="shared" si="48"/>
      </c>
      <c r="CH49" s="73">
        <f t="shared" si="49"/>
      </c>
      <c r="CI49" s="73">
        <f t="shared" si="50"/>
      </c>
      <c r="CJ49" s="76">
        <f t="shared" si="51"/>
      </c>
      <c r="CK49" s="76">
        <f t="shared" si="76"/>
      </c>
      <c r="CL49" s="76">
        <f t="shared" si="77"/>
      </c>
      <c r="CM49" s="76">
        <f t="shared" si="78"/>
      </c>
      <c r="CN49" s="40">
        <f t="shared" si="7"/>
      </c>
      <c r="CO49" s="40">
        <f t="shared" si="88"/>
      </c>
      <c r="CP49" s="40">
        <f t="shared" si="89"/>
      </c>
      <c r="CQ49" s="40">
        <f t="shared" si="90"/>
      </c>
      <c r="CR49" s="40">
        <f t="shared" si="91"/>
      </c>
      <c r="CS49" s="40">
        <f t="shared" si="81"/>
      </c>
      <c r="CT49" s="40">
        <f t="shared" si="55"/>
      </c>
      <c r="CU49" s="40">
        <f t="shared" si="93"/>
      </c>
      <c r="CV49" s="40">
        <f t="shared" si="94"/>
      </c>
      <c r="CW49" s="40">
        <f t="shared" si="95"/>
      </c>
      <c r="CX49" s="40">
        <f t="shared" si="82"/>
      </c>
      <c r="CY49" s="40">
        <f t="shared" si="83"/>
      </c>
      <c r="CZ49" s="40">
        <f t="shared" si="92"/>
      </c>
      <c r="DA49" s="40">
        <f t="shared" si="60"/>
      </c>
    </row>
    <row r="50" spans="1:105" ht="12.75">
      <c r="A50" s="61"/>
      <c r="B50" s="61"/>
      <c r="C50" s="61"/>
      <c r="D50" s="61"/>
      <c r="E50" s="61"/>
      <c r="F50" s="61"/>
      <c r="G50" s="61"/>
      <c r="H50" s="120"/>
      <c r="I50" s="61"/>
      <c r="J50" s="61"/>
      <c r="K50" s="61"/>
      <c r="L50" s="61"/>
      <c r="M50" s="61"/>
      <c r="N50" s="61"/>
      <c r="O50" s="61"/>
      <c r="P50" s="61"/>
      <c r="Q50" s="120"/>
      <c r="R50" s="120"/>
      <c r="S50" s="120"/>
      <c r="T50" s="120"/>
      <c r="U50" s="72">
        <f t="shared" si="84"/>
      </c>
      <c r="V50" s="72">
        <f t="shared" si="12"/>
      </c>
      <c r="W50" s="73">
        <f t="shared" si="13"/>
      </c>
      <c r="X50" s="72">
        <f t="shared" si="14"/>
      </c>
      <c r="Y50" s="72">
        <f t="shared" si="15"/>
      </c>
      <c r="Z50" s="72">
        <f t="shared" si="16"/>
      </c>
      <c r="AA50" s="72">
        <f t="shared" si="17"/>
      </c>
      <c r="AB50" s="72">
        <f t="shared" si="18"/>
      </c>
      <c r="AC50" s="72">
        <f t="shared" si="19"/>
      </c>
      <c r="AD50" s="74">
        <f t="shared" si="20"/>
      </c>
      <c r="AE50" s="73">
        <f t="shared" si="61"/>
      </c>
      <c r="AF50" s="40">
        <f t="shared" si="62"/>
      </c>
      <c r="AG50" s="40">
        <f t="shared" si="98"/>
      </c>
      <c r="AH50" s="40">
        <f t="shared" si="22"/>
      </c>
      <c r="AI50" s="270">
        <f t="shared" si="23"/>
      </c>
      <c r="AJ50" s="40">
        <f>IF($B50="","",I50*IF($G$14="Sí",IF(OR($D50="R",$D50="RST"),IF($D$2="Sí",IF($G50="Motor",$D$6*$W50/(BB50^2),$W50/$D$6)*($AV50*$F50+$AW50*SIN(ACOS($F50))),$W50*$F50))+SUMIF(INICIO,$B50,R_RE),0))</f>
      </c>
      <c r="AK50" s="40">
        <f>IF(B50="","",I50*IF($G$14="Sí",IF(OR($D50="R",$D50="RST"),IF($D$2="Sí",IF($G50="Motor",$D$6*$W50/(BB50^2),$W50/$D$6)*($AW50*$F50-$AV50*SIN(ACOS($F50))),-$W50*SIN(ACOS($F50))))+SUMIF(INICIO,$B50,R_IM),0))</f>
      </c>
      <c r="AL50" s="273">
        <f t="shared" si="24"/>
      </c>
      <c r="AM50" s="40">
        <f>IF(B50="","",I50*IF($H$14="Sí",IF(OR($D50="S",$D50="RST"),IF($D$2="Sí",IF($G50="Motor",$D$6*$W50/(BC50^2),$W50/$D$6)*($AX50*$F50+$AY50*SIN(ACOS($F50))),-$W50*$F50/2-SQRT(3)/2*$W50*SIN(ACOS($F50))))+SUMIF(INICIO,$B50,S_RE),0))</f>
      </c>
      <c r="AN50" s="40">
        <f>IF(B50="","",I50*IF($H$14="Sí",IF(OR($D50="S",$D50="RST"),IF($D$2="Sí",IF($G50="Motor",$D$6*$W50/(BC50^2),$W50/$D$6)*($AY50*$F50-$AX50*SIN(ACOS($F50))),-SQRT(3)/2*$W50*$F50+0.5*$W50*SIN(ACOS($F50))))+SUMIF(INICIO,$B50,S_IM),0))</f>
      </c>
      <c r="AO50" s="273">
        <f t="shared" si="25"/>
      </c>
      <c r="AP50" s="40">
        <f>IF(B50="","",I50*IF($I$14="Sí",IF(OR($D50="T",$D50="RST"),IF($D$2="Sí",IF($G50="Motor",$D$6*$W50/(BD50^2),$W50/$D$6)*($AZ50*$F50+$BA50*SIN(ACOS($F50))),-$W50*$F50/2+SQRT(3)/2*$W50*SIN(ACOS($F50))))+SUMIF(INICIO,$B50,T_RE),0))</f>
      </c>
      <c r="AQ50" s="272">
        <f>IF(B50="","",I50*IF($I$14="Sí",IF(OR($D50="T",$D50="RST"),IF($D$2="Sí",IF($G50="Motor",$D$6*$W50/(BD50^2),$W50/$D$6)*($BA50*$F50-$AZ50*SIN(ACOS($F50))),SQRT(3)/2*$W50*$F50+0.5*$W50*SIN(ACOS($F50))))+SUMIF(INICIO,$B50,T_IM),0))</f>
      </c>
      <c r="AR50" s="40">
        <f t="shared" si="26"/>
      </c>
      <c r="AS50" s="40">
        <f t="shared" si="27"/>
      </c>
      <c r="AT50" s="40">
        <f t="shared" si="28"/>
      </c>
      <c r="AU50" s="40">
        <f t="shared" si="29"/>
      </c>
      <c r="AV50" s="73">
        <f t="shared" si="63"/>
      </c>
      <c r="AW50" s="73">
        <f t="shared" si="64"/>
      </c>
      <c r="AX50" s="73">
        <f t="shared" si="65"/>
      </c>
      <c r="AY50" s="73">
        <f t="shared" si="66"/>
      </c>
      <c r="AZ50" s="73">
        <f t="shared" si="67"/>
      </c>
      <c r="BA50" s="73">
        <f t="shared" si="68"/>
      </c>
      <c r="BB50" s="73">
        <f t="shared" si="69"/>
      </c>
      <c r="BC50" s="73">
        <f t="shared" si="70"/>
      </c>
      <c r="BD50" s="73">
        <f t="shared" si="71"/>
      </c>
      <c r="BE50" s="73">
        <f t="shared" si="30"/>
      </c>
      <c r="BF50" s="73">
        <f t="shared" si="31"/>
      </c>
      <c r="BG50" s="73">
        <f t="shared" si="32"/>
      </c>
      <c r="BH50" s="73">
        <f t="shared" si="33"/>
      </c>
      <c r="BI50" s="73">
        <f t="shared" si="96"/>
      </c>
      <c r="BJ50" s="73">
        <f t="shared" si="97"/>
      </c>
      <c r="BK50" s="40">
        <f t="shared" si="72"/>
      </c>
      <c r="BL50" s="40">
        <f t="shared" si="73"/>
      </c>
      <c r="BM50" s="40">
        <f t="shared" si="74"/>
      </c>
      <c r="BN50" s="40">
        <f t="shared" si="34"/>
      </c>
      <c r="BO50" s="40">
        <f t="shared" si="5"/>
      </c>
      <c r="BP50" s="40">
        <f t="shared" si="35"/>
      </c>
      <c r="BQ50" s="40">
        <f t="shared" si="36"/>
      </c>
      <c r="BR50" s="40">
        <f t="shared" si="37"/>
      </c>
      <c r="BS50" s="40">
        <f t="shared" si="75"/>
      </c>
      <c r="BT50" s="40">
        <f t="shared" si="99"/>
      </c>
      <c r="BU50" s="40">
        <f t="shared" si="39"/>
      </c>
      <c r="BV50" s="75">
        <f t="shared" si="40"/>
      </c>
      <c r="BW50" s="75">
        <f t="shared" si="41"/>
      </c>
      <c r="BX50" s="40">
        <f t="shared" si="6"/>
      </c>
      <c r="BY50" s="40">
        <f t="shared" si="42"/>
      </c>
      <c r="BZ50" s="61"/>
      <c r="CA50" s="73">
        <f t="shared" si="43"/>
      </c>
      <c r="CB50" s="84"/>
      <c r="CC50" s="73">
        <f t="shared" si="44"/>
      </c>
      <c r="CD50" s="73">
        <f t="shared" si="85"/>
      </c>
      <c r="CE50" s="73">
        <f t="shared" si="86"/>
      </c>
      <c r="CF50" s="73">
        <f t="shared" si="87"/>
      </c>
      <c r="CG50" s="73">
        <f t="shared" si="48"/>
      </c>
      <c r="CH50" s="73">
        <f t="shared" si="49"/>
      </c>
      <c r="CI50" s="73">
        <f t="shared" si="50"/>
      </c>
      <c r="CJ50" s="76">
        <f t="shared" si="51"/>
      </c>
      <c r="CK50" s="76">
        <f t="shared" si="76"/>
      </c>
      <c r="CL50" s="76">
        <f t="shared" si="77"/>
      </c>
      <c r="CM50" s="76">
        <f t="shared" si="78"/>
      </c>
      <c r="CN50" s="40">
        <f t="shared" si="7"/>
      </c>
      <c r="CO50" s="40">
        <f t="shared" si="88"/>
      </c>
      <c r="CP50" s="40">
        <f t="shared" si="89"/>
      </c>
      <c r="CQ50" s="40">
        <f t="shared" si="90"/>
      </c>
      <c r="CR50" s="40">
        <f t="shared" si="91"/>
      </c>
      <c r="CS50" s="40">
        <f t="shared" si="81"/>
      </c>
      <c r="CT50" s="40">
        <f t="shared" si="55"/>
      </c>
      <c r="CU50" s="40">
        <f t="shared" si="93"/>
      </c>
      <c r="CV50" s="40">
        <f t="shared" si="94"/>
      </c>
      <c r="CW50" s="40">
        <f t="shared" si="95"/>
      </c>
      <c r="CX50" s="40">
        <f t="shared" si="82"/>
      </c>
      <c r="CY50" s="40">
        <f t="shared" si="83"/>
      </c>
      <c r="CZ50" s="40">
        <f t="shared" si="92"/>
      </c>
      <c r="DA50" s="40">
        <f t="shared" si="60"/>
      </c>
    </row>
    <row r="51" spans="1:105" ht="12.75">
      <c r="A51" s="61"/>
      <c r="B51" s="61"/>
      <c r="C51" s="61"/>
      <c r="D51" s="61"/>
      <c r="E51" s="61"/>
      <c r="F51" s="61"/>
      <c r="G51" s="61"/>
      <c r="H51" s="120"/>
      <c r="I51" s="61"/>
      <c r="J51" s="61"/>
      <c r="K51" s="61"/>
      <c r="L51" s="61"/>
      <c r="M51" s="61"/>
      <c r="N51" s="61"/>
      <c r="O51" s="61"/>
      <c r="P51" s="61"/>
      <c r="Q51" s="120"/>
      <c r="R51" s="120"/>
      <c r="S51" s="120"/>
      <c r="T51" s="120"/>
      <c r="U51" s="72">
        <f t="shared" si="84"/>
      </c>
      <c r="V51" s="72">
        <f t="shared" si="12"/>
      </c>
      <c r="W51" s="73">
        <f t="shared" si="13"/>
      </c>
      <c r="X51" s="72">
        <f t="shared" si="14"/>
      </c>
      <c r="Y51" s="72">
        <f t="shared" si="15"/>
      </c>
      <c r="Z51" s="72">
        <f t="shared" si="16"/>
      </c>
      <c r="AA51" s="72">
        <f t="shared" si="17"/>
      </c>
      <c r="AB51" s="72">
        <f t="shared" si="18"/>
      </c>
      <c r="AC51" s="72">
        <f t="shared" si="19"/>
      </c>
      <c r="AD51" s="74">
        <f t="shared" si="20"/>
      </c>
      <c r="AE51" s="73">
        <f t="shared" si="61"/>
      </c>
      <c r="AF51" s="40">
        <f t="shared" si="62"/>
      </c>
      <c r="AG51" s="40">
        <f t="shared" si="98"/>
      </c>
      <c r="AH51" s="40">
        <f t="shared" si="22"/>
      </c>
      <c r="AI51" s="270">
        <f t="shared" si="23"/>
      </c>
      <c r="AJ51" s="40">
        <f>IF($B51="","",I51*IF($G$14="Sí",IF(OR($D51="R",$D51="RST"),IF($D$2="Sí",IF($G51="Motor",$D$6*$W51/(BB51^2),$W51/$D$6)*($AV51*$F51+$AW51*SIN(ACOS($F51))),$W51*$F51))+SUMIF(INICIO,$B51,R_RE),0))</f>
      </c>
      <c r="AK51" s="40">
        <f>IF(B51="","",I51*IF($G$14="Sí",IF(OR($D51="R",$D51="RST"),IF($D$2="Sí",IF($G51="Motor",$D$6*$W51/(BB51^2),$W51/$D$6)*($AW51*$F51-$AV51*SIN(ACOS($F51))),-$W51*SIN(ACOS($F51))))+SUMIF(INICIO,$B51,R_IM),0))</f>
      </c>
      <c r="AL51" s="273">
        <f t="shared" si="24"/>
      </c>
      <c r="AM51" s="40">
        <f>IF(B51="","",I51*IF($H$14="Sí",IF(OR($D51="S",$D51="RST"),IF($D$2="Sí",IF($G51="Motor",$D$6*$W51/(BC51^2),$W51/$D$6)*($AX51*$F51+$AY51*SIN(ACOS($F51))),-$W51*$F51/2-SQRT(3)/2*$W51*SIN(ACOS($F51))))+SUMIF(INICIO,$B51,S_RE),0))</f>
      </c>
      <c r="AN51" s="40">
        <f>IF(B51="","",I51*IF($H$14="Sí",IF(OR($D51="S",$D51="RST"),IF($D$2="Sí",IF($G51="Motor",$D$6*$W51/(BC51^2),$W51/$D$6)*($AY51*$F51-$AX51*SIN(ACOS($F51))),-SQRT(3)/2*$W51*$F51+0.5*$W51*SIN(ACOS($F51))))+SUMIF(INICIO,$B51,S_IM),0))</f>
      </c>
      <c r="AO51" s="273">
        <f t="shared" si="25"/>
      </c>
      <c r="AP51" s="40">
        <f>IF(B51="","",I51*IF($I$14="Sí",IF(OR($D51="T",$D51="RST"),IF($D$2="Sí",IF($G51="Motor",$D$6*$W51/(BD51^2),$W51/$D$6)*($AZ51*$F51+$BA51*SIN(ACOS($F51))),-$W51*$F51/2+SQRT(3)/2*$W51*SIN(ACOS($F51))))+SUMIF(INICIO,$B51,T_RE),0))</f>
      </c>
      <c r="AQ51" s="272">
        <f>IF(B51="","",I51*IF($I$14="Sí",IF(OR($D51="T",$D51="RST"),IF($D$2="Sí",IF($G51="Motor",$D$6*$W51/(BD51^2),$W51/$D$6)*($BA51*$F51-$AZ51*SIN(ACOS($F51))),SQRT(3)/2*$W51*$F51+0.5*$W51*SIN(ACOS($F51))))+SUMIF(INICIO,$B51,T_IM),0))</f>
      </c>
      <c r="AR51" s="40">
        <f t="shared" si="26"/>
      </c>
      <c r="AS51" s="40">
        <f t="shared" si="27"/>
      </c>
      <c r="AT51" s="40">
        <f t="shared" si="28"/>
      </c>
      <c r="AU51" s="40">
        <f t="shared" si="29"/>
      </c>
      <c r="AV51" s="73">
        <f t="shared" si="63"/>
      </c>
      <c r="AW51" s="73">
        <f t="shared" si="64"/>
      </c>
      <c r="AX51" s="73">
        <f t="shared" si="65"/>
      </c>
      <c r="AY51" s="73">
        <f t="shared" si="66"/>
      </c>
      <c r="AZ51" s="73">
        <f t="shared" si="67"/>
      </c>
      <c r="BA51" s="73">
        <f t="shared" si="68"/>
      </c>
      <c r="BB51" s="73">
        <f t="shared" si="69"/>
      </c>
      <c r="BC51" s="73">
        <f t="shared" si="70"/>
      </c>
      <c r="BD51" s="73">
        <f t="shared" si="71"/>
      </c>
      <c r="BE51" s="73">
        <f t="shared" si="30"/>
      </c>
      <c r="BF51" s="73">
        <f t="shared" si="31"/>
      </c>
      <c r="BG51" s="73">
        <f t="shared" si="32"/>
      </c>
      <c r="BH51" s="73">
        <f t="shared" si="33"/>
      </c>
      <c r="BI51" s="73">
        <f t="shared" si="96"/>
      </c>
      <c r="BJ51" s="73">
        <f t="shared" si="97"/>
      </c>
      <c r="BK51" s="40">
        <f t="shared" si="72"/>
      </c>
      <c r="BL51" s="40">
        <f t="shared" si="73"/>
      </c>
      <c r="BM51" s="40">
        <f t="shared" si="74"/>
      </c>
      <c r="BN51" s="40">
        <f t="shared" si="34"/>
      </c>
      <c r="BO51" s="40">
        <f t="shared" si="5"/>
      </c>
      <c r="BP51" s="40">
        <f t="shared" si="35"/>
      </c>
      <c r="BQ51" s="40">
        <f t="shared" si="36"/>
      </c>
      <c r="BR51" s="40">
        <f t="shared" si="37"/>
      </c>
      <c r="BS51" s="40">
        <f t="shared" si="75"/>
      </c>
      <c r="BT51" s="40">
        <f t="shared" si="99"/>
      </c>
      <c r="BU51" s="40">
        <f t="shared" si="39"/>
      </c>
      <c r="BV51" s="75">
        <f t="shared" si="40"/>
      </c>
      <c r="BW51" s="75">
        <f t="shared" si="41"/>
      </c>
      <c r="BX51" s="40">
        <f t="shared" si="6"/>
      </c>
      <c r="BY51" s="40">
        <f t="shared" si="42"/>
      </c>
      <c r="BZ51" s="61"/>
      <c r="CA51" s="73">
        <f t="shared" si="43"/>
      </c>
      <c r="CB51" s="84"/>
      <c r="CC51" s="73">
        <f t="shared" si="44"/>
      </c>
      <c r="CD51" s="73">
        <f t="shared" si="85"/>
      </c>
      <c r="CE51" s="73">
        <f t="shared" si="86"/>
      </c>
      <c r="CF51" s="73">
        <f t="shared" si="87"/>
      </c>
      <c r="CG51" s="73">
        <f t="shared" si="48"/>
      </c>
      <c r="CH51" s="73">
        <f t="shared" si="49"/>
      </c>
      <c r="CI51" s="73">
        <f t="shared" si="50"/>
      </c>
      <c r="CJ51" s="76">
        <f t="shared" si="51"/>
      </c>
      <c r="CK51" s="76">
        <f t="shared" si="76"/>
      </c>
      <c r="CL51" s="76">
        <f t="shared" si="77"/>
      </c>
      <c r="CM51" s="76">
        <f t="shared" si="78"/>
      </c>
      <c r="CN51" s="40">
        <f t="shared" si="7"/>
      </c>
      <c r="CO51" s="40">
        <f t="shared" si="88"/>
      </c>
      <c r="CP51" s="40">
        <f t="shared" si="89"/>
      </c>
      <c r="CQ51" s="40">
        <f t="shared" si="90"/>
      </c>
      <c r="CR51" s="40">
        <f t="shared" si="91"/>
      </c>
      <c r="CS51" s="40">
        <f t="shared" si="81"/>
      </c>
      <c r="CT51" s="40">
        <f t="shared" si="55"/>
      </c>
      <c r="CU51" s="40">
        <f t="shared" si="93"/>
      </c>
      <c r="CV51" s="40">
        <f t="shared" si="94"/>
      </c>
      <c r="CW51" s="40">
        <f t="shared" si="95"/>
      </c>
      <c r="CX51" s="40">
        <f t="shared" si="82"/>
      </c>
      <c r="CY51" s="40">
        <f t="shared" si="83"/>
      </c>
      <c r="CZ51" s="40">
        <f t="shared" si="92"/>
      </c>
      <c r="DA51" s="40">
        <f t="shared" si="60"/>
      </c>
    </row>
    <row r="52" spans="1:105" ht="12.75">
      <c r="A52" s="61"/>
      <c r="B52" s="61"/>
      <c r="C52" s="61"/>
      <c r="D52" s="61"/>
      <c r="E52" s="61"/>
      <c r="F52" s="61"/>
      <c r="G52" s="61"/>
      <c r="H52" s="120"/>
      <c r="I52" s="61"/>
      <c r="J52" s="61"/>
      <c r="K52" s="61"/>
      <c r="L52" s="61"/>
      <c r="M52" s="61"/>
      <c r="N52" s="61"/>
      <c r="O52" s="61"/>
      <c r="P52" s="61"/>
      <c r="Q52" s="120"/>
      <c r="R52" s="120"/>
      <c r="S52" s="120"/>
      <c r="T52" s="120"/>
      <c r="U52" s="72">
        <f t="shared" si="84"/>
      </c>
      <c r="V52" s="72">
        <f t="shared" si="12"/>
      </c>
      <c r="W52" s="73">
        <f t="shared" si="13"/>
      </c>
      <c r="X52" s="72">
        <f t="shared" si="14"/>
      </c>
      <c r="Y52" s="72">
        <f t="shared" si="15"/>
      </c>
      <c r="Z52" s="72">
        <f t="shared" si="16"/>
      </c>
      <c r="AA52" s="72">
        <f t="shared" si="17"/>
      </c>
      <c r="AB52" s="72">
        <f t="shared" si="18"/>
      </c>
      <c r="AC52" s="72">
        <f t="shared" si="19"/>
      </c>
      <c r="AD52" s="74">
        <f t="shared" si="20"/>
      </c>
      <c r="AE52" s="73">
        <f t="shared" si="61"/>
      </c>
      <c r="AF52" s="40">
        <f t="shared" si="62"/>
      </c>
      <c r="AG52" s="40">
        <f t="shared" si="98"/>
      </c>
      <c r="AH52" s="40">
        <f t="shared" si="22"/>
      </c>
      <c r="AI52" s="270">
        <f t="shared" si="23"/>
      </c>
      <c r="AJ52" s="40">
        <f>IF($B52="","",I52*IF($G$14="Sí",IF(OR($D52="R",$D52="RST"),IF($D$2="Sí",IF($G52="Motor",$D$6*$W52/(BB52^2),$W52/$D$6)*($AV52*$F52+$AW52*SIN(ACOS($F52))),$W52*$F52))+SUMIF(INICIO,$B52,R_RE),0))</f>
      </c>
      <c r="AK52" s="40">
        <f>IF(B52="","",I52*IF($G$14="Sí",IF(OR($D52="R",$D52="RST"),IF($D$2="Sí",IF($G52="Motor",$D$6*$W52/(BB52^2),$W52/$D$6)*($AW52*$F52-$AV52*SIN(ACOS($F52))),-$W52*SIN(ACOS($F52))))+SUMIF(INICIO,$B52,R_IM),0))</f>
      </c>
      <c r="AL52" s="273">
        <f t="shared" si="24"/>
      </c>
      <c r="AM52" s="40">
        <f>IF(B52="","",I52*IF($H$14="Sí",IF(OR($D52="S",$D52="RST"),IF($D$2="Sí",IF($G52="Motor",$D$6*$W52/(BC52^2),$W52/$D$6)*($AX52*$F52+$AY52*SIN(ACOS($F52))),-$W52*$F52/2-SQRT(3)/2*$W52*SIN(ACOS($F52))))+SUMIF(INICIO,$B52,S_RE),0))</f>
      </c>
      <c r="AN52" s="40">
        <f>IF(B52="","",I52*IF($H$14="Sí",IF(OR($D52="S",$D52="RST"),IF($D$2="Sí",IF($G52="Motor",$D$6*$W52/(BC52^2),$W52/$D$6)*($AY52*$F52-$AX52*SIN(ACOS($F52))),-SQRT(3)/2*$W52*$F52+0.5*$W52*SIN(ACOS($F52))))+SUMIF(INICIO,$B52,S_IM),0))</f>
      </c>
      <c r="AO52" s="273">
        <f t="shared" si="25"/>
      </c>
      <c r="AP52" s="40">
        <f>IF(B52="","",I52*IF($I$14="Sí",IF(OR($D52="T",$D52="RST"),IF($D$2="Sí",IF($G52="Motor",$D$6*$W52/(BD52^2),$W52/$D$6)*($AZ52*$F52+$BA52*SIN(ACOS($F52))),-$W52*$F52/2+SQRT(3)/2*$W52*SIN(ACOS($F52))))+SUMIF(INICIO,$B52,T_RE),0))</f>
      </c>
      <c r="AQ52" s="272">
        <f>IF(B52="","",I52*IF($I$14="Sí",IF(OR($D52="T",$D52="RST"),IF($D$2="Sí",IF($G52="Motor",$D$6*$W52/(BD52^2),$W52/$D$6)*($BA52*$F52-$AZ52*SIN(ACOS($F52))),SQRT(3)/2*$W52*$F52+0.5*$W52*SIN(ACOS($F52))))+SUMIF(INICIO,$B52,T_IM),0))</f>
      </c>
      <c r="AR52" s="40">
        <f t="shared" si="26"/>
      </c>
      <c r="AS52" s="40">
        <f t="shared" si="27"/>
      </c>
      <c r="AT52" s="40">
        <f t="shared" si="28"/>
      </c>
      <c r="AU52" s="40">
        <f t="shared" si="29"/>
      </c>
      <c r="AV52" s="73">
        <f t="shared" si="63"/>
      </c>
      <c r="AW52" s="73">
        <f t="shared" si="64"/>
      </c>
      <c r="AX52" s="73">
        <f t="shared" si="65"/>
      </c>
      <c r="AY52" s="73">
        <f t="shared" si="66"/>
      </c>
      <c r="AZ52" s="73">
        <f t="shared" si="67"/>
      </c>
      <c r="BA52" s="73">
        <f t="shared" si="68"/>
      </c>
      <c r="BB52" s="73">
        <f t="shared" si="69"/>
      </c>
      <c r="BC52" s="73">
        <f t="shared" si="70"/>
      </c>
      <c r="BD52" s="73">
        <f t="shared" si="71"/>
      </c>
      <c r="BE52" s="73">
        <f t="shared" si="30"/>
      </c>
      <c r="BF52" s="73">
        <f t="shared" si="31"/>
      </c>
      <c r="BG52" s="73">
        <f t="shared" si="32"/>
      </c>
      <c r="BH52" s="73">
        <f t="shared" si="33"/>
      </c>
      <c r="BI52" s="73">
        <f t="shared" si="96"/>
      </c>
      <c r="BJ52" s="73">
        <f t="shared" si="97"/>
      </c>
      <c r="BK52" s="40">
        <f t="shared" si="72"/>
      </c>
      <c r="BL52" s="40">
        <f t="shared" si="73"/>
      </c>
      <c r="BM52" s="40">
        <f t="shared" si="74"/>
      </c>
      <c r="BN52" s="40">
        <f t="shared" si="34"/>
      </c>
      <c r="BO52" s="40">
        <f t="shared" si="5"/>
      </c>
      <c r="BP52" s="40">
        <f t="shared" si="35"/>
      </c>
      <c r="BQ52" s="40">
        <f t="shared" si="36"/>
      </c>
      <c r="BR52" s="40">
        <f t="shared" si="37"/>
      </c>
      <c r="BS52" s="40">
        <f t="shared" si="75"/>
      </c>
      <c r="BT52" s="40">
        <f t="shared" si="99"/>
      </c>
      <c r="BU52" s="40">
        <f t="shared" si="39"/>
      </c>
      <c r="BV52" s="75">
        <f t="shared" si="40"/>
      </c>
      <c r="BW52" s="75">
        <f t="shared" si="41"/>
      </c>
      <c r="BX52" s="40">
        <f t="shared" si="6"/>
      </c>
      <c r="BY52" s="40">
        <f t="shared" si="42"/>
      </c>
      <c r="BZ52" s="61"/>
      <c r="CA52" s="73">
        <f t="shared" si="43"/>
      </c>
      <c r="CB52" s="84"/>
      <c r="CC52" s="73">
        <f t="shared" si="44"/>
      </c>
      <c r="CD52" s="73">
        <f t="shared" si="85"/>
      </c>
      <c r="CE52" s="73">
        <f t="shared" si="86"/>
      </c>
      <c r="CF52" s="73">
        <f t="shared" si="87"/>
      </c>
      <c r="CG52" s="73">
        <f t="shared" si="48"/>
      </c>
      <c r="CH52" s="73">
        <f t="shared" si="49"/>
      </c>
      <c r="CI52" s="73">
        <f t="shared" si="50"/>
      </c>
      <c r="CJ52" s="76">
        <f t="shared" si="51"/>
      </c>
      <c r="CK52" s="76">
        <f t="shared" si="76"/>
      </c>
      <c r="CL52" s="76">
        <f t="shared" si="77"/>
      </c>
      <c r="CM52" s="76">
        <f t="shared" si="78"/>
      </c>
      <c r="CN52" s="40">
        <f t="shared" si="7"/>
      </c>
      <c r="CO52" s="40">
        <f t="shared" si="88"/>
      </c>
      <c r="CP52" s="40">
        <f t="shared" si="89"/>
      </c>
      <c r="CQ52" s="40">
        <f t="shared" si="90"/>
      </c>
      <c r="CR52" s="40">
        <f t="shared" si="91"/>
      </c>
      <c r="CS52" s="40">
        <f t="shared" si="81"/>
      </c>
      <c r="CT52" s="40">
        <f t="shared" si="55"/>
      </c>
      <c r="CU52" s="40">
        <f t="shared" si="93"/>
      </c>
      <c r="CV52" s="40">
        <f t="shared" si="94"/>
      </c>
      <c r="CW52" s="40">
        <f t="shared" si="95"/>
      </c>
      <c r="CX52" s="40">
        <f t="shared" si="82"/>
      </c>
      <c r="CY52" s="40">
        <f t="shared" si="83"/>
      </c>
      <c r="CZ52" s="40">
        <f t="shared" si="92"/>
      </c>
      <c r="DA52" s="40">
        <f t="shared" si="60"/>
      </c>
    </row>
    <row r="53" spans="1:105" ht="12.75">
      <c r="A53" s="61"/>
      <c r="B53" s="61"/>
      <c r="C53" s="61"/>
      <c r="D53" s="61"/>
      <c r="E53" s="61"/>
      <c r="F53" s="61"/>
      <c r="G53" s="61"/>
      <c r="H53" s="120"/>
      <c r="I53" s="61"/>
      <c r="J53" s="61"/>
      <c r="K53" s="61"/>
      <c r="L53" s="61"/>
      <c r="M53" s="61"/>
      <c r="N53" s="61"/>
      <c r="O53" s="61"/>
      <c r="P53" s="61"/>
      <c r="Q53" s="120"/>
      <c r="R53" s="120"/>
      <c r="S53" s="120"/>
      <c r="T53" s="120"/>
      <c r="U53" s="72">
        <f t="shared" si="84"/>
      </c>
      <c r="V53" s="72">
        <f t="shared" si="12"/>
      </c>
      <c r="W53" s="73">
        <f t="shared" si="13"/>
      </c>
      <c r="X53" s="72">
        <f t="shared" si="14"/>
      </c>
      <c r="Y53" s="72">
        <f t="shared" si="15"/>
      </c>
      <c r="Z53" s="72">
        <f t="shared" si="16"/>
      </c>
      <c r="AA53" s="72">
        <f t="shared" si="17"/>
      </c>
      <c r="AB53" s="72">
        <f t="shared" si="18"/>
      </c>
      <c r="AC53" s="72">
        <f t="shared" si="19"/>
      </c>
      <c r="AD53" s="74">
        <f aca="true" t="shared" si="100" ref="AD53:AD86">IF(L53="","",L53*IF(S53="",1,SQRT((SUMIF(Tipo_cable,J53,Tem_máx)-S53)/((SUMIF(Tipo_cable,J53,Tem_máx)-(SUMIF(Tipo_cable,J53,Tem_amb))))))*IF(T53="",1,T53))</f>
      </c>
      <c r="AE53" s="73">
        <f>IF(B53="","",MAX(AL53,MAX(AO53,AR53))-CC53+1.25*CC53)</f>
      </c>
      <c r="AF53" s="40">
        <f t="shared" si="62"/>
      </c>
      <c r="AG53" s="40">
        <f t="shared" si="98"/>
      </c>
      <c r="AH53" s="40">
        <f t="shared" si="22"/>
      </c>
      <c r="AI53" s="270">
        <f>IF(B53="","",100*AH53/$D$5)</f>
      </c>
      <c r="AJ53" s="40">
        <f>IF($B53="","",I53*IF($G$14="Sí",IF(OR($D53="R",$D53="RST"),IF($D$2="Sí",IF($G53="Motor",$D$6*$W53/(BB53^2),$W53/$D$6)*($AV53*$F53+$AW53*SIN(ACOS($F53))),$W53*$F53))+SUMIF(INICIO,$B53,R_RE),0))</f>
      </c>
      <c r="AK53" s="40">
        <f>IF(B53="","",I53*IF($G$14="Sí",IF(OR($D53="R",$D53="RST"),IF($D$2="Sí",IF($G53="Motor",$D$6*$W53/(BB53^2),$W53/$D$6)*($AW53*$F53-$AV53*SIN(ACOS($F53))),-$W53*SIN(ACOS($F53))))+SUMIF(INICIO,$B53,R_IM),0))</f>
      </c>
      <c r="AL53" s="273">
        <f>IF(B53="","",SQRT(AJ53^2+AK53^2))</f>
      </c>
      <c r="AM53" s="40">
        <f>IF(B53="","",I53*IF($H$14="Sí",IF(OR($D53="S",$D53="RST"),IF($D$2="Sí",IF($G53="Motor",$D$6*$W53/(BC53^2),$W53/$D$6)*($AX53*$F53+$AY53*SIN(ACOS($F53))),-$W53*$F53/2-SQRT(3)/2*$W53*SIN(ACOS($F53))))+SUMIF(INICIO,$B53,S_RE),0))</f>
      </c>
      <c r="AN53" s="40">
        <f>IF(B53="","",I53*IF($H$14="Sí",IF(OR($D53="S",$D53="RST"),IF($D$2="Sí",IF($G53="Motor",$D$6*$W53/(BC53^2),$W53/$D$6)*($AY53*$F53-$AX53*SIN(ACOS($F53))),-SQRT(3)/2*$W53*$F53+0.5*$W53*SIN(ACOS($F53))))+SUMIF(INICIO,$B53,S_IM),0))</f>
      </c>
      <c r="AO53" s="273">
        <f>IF(B53="","",SQRT(AM53^2+AN53^2))</f>
      </c>
      <c r="AP53" s="40">
        <f>IF(B53="","",I53*IF($I$14="Sí",IF(OR($D53="T",$D53="RST"),IF($D$2="Sí",IF($G53="Motor",$D$6*$W53/(BD53^2),$W53/$D$6)*($AZ53*$F53+$BA53*SIN(ACOS($F53))),-$W53*$F53/2+SQRT(3)/2*$W53*SIN(ACOS($F53))))+SUMIF(INICIO,$B53,T_RE),0))</f>
      </c>
      <c r="AQ53" s="272">
        <f>IF(B53="","",I53*IF($I$14="Sí",IF(OR($D53="T",$D53="RST"),IF($D$2="Sí",IF($G53="Motor",$D$6*$W53/(BD53^2),$W53/$D$6)*($BA53*$F53-$AZ53*SIN(ACOS($F53))),SQRT(3)/2*$W53*$F53+0.5*$W53*SIN(ACOS($F53))))+SUMIF(INICIO,$B53,T_IM),0))</f>
      </c>
      <c r="AR53" s="40">
        <f>IF(B53="","",SQRT(AP53^2+AQ53^2))</f>
      </c>
      <c r="AS53" s="40">
        <f>IF(B53="","",AJ53+AM53+AP53)</f>
      </c>
      <c r="AT53" s="40">
        <f>IF(B53="","",AK53+AN53+AQ53)</f>
      </c>
      <c r="AU53" s="40">
        <f t="shared" si="29"/>
      </c>
      <c r="AV53" s="73">
        <f>IF(B53="","",SUMIF(FINAL,$A53,ac_R_Re)-($X53*$AJ53-$AB53*$AK53)-($AA53*$AS53-$AC53*$AT53))</f>
      </c>
      <c r="AW53" s="73">
        <f>IF(B53="","",SUMIF(FINAL,$A53,ac_R_Im)-($X53*$AK53+$AB53*$AJ53)-($AA53*$AT53+$AC53*$AS53))</f>
      </c>
      <c r="AX53" s="73">
        <f>IF(B53="","",SUMIF(FINAL,$A53,ac_S_Re)-($Y53*$AM53-$AB53*$AN53)-($AA53*$AS53-$AC53*$AT53))</f>
      </c>
      <c r="AY53" s="73">
        <f>IF(B53="","",SUMIF(FINAL,$A53,ac_S_Im)-($Y53*$AN53+$AB53*$AM53)-($AA53*$AT53+$AC53*$AS53))</f>
      </c>
      <c r="AZ53" s="73">
        <f>IF(B53="","",SUMIF(FINAL,$A53,ac_T_Re)-($Z53*$AP53-$AB53*$AQ53)-($AA53*$AS53-$AC53*$AT53))</f>
      </c>
      <c r="BA53" s="73">
        <f>IF(B53="","",SUMIF(FINAL,$A53,ac_T_Im)-($Z53*$AQ53+$AB53*$AP53)-($AA53*$AT53+$AC53*$AS53))</f>
      </c>
      <c r="BB53" s="73">
        <f t="shared" si="69"/>
      </c>
      <c r="BC53" s="73">
        <f t="shared" si="70"/>
      </c>
      <c r="BD53" s="73">
        <f t="shared" si="71"/>
      </c>
      <c r="BE53" s="73">
        <f t="shared" si="30"/>
      </c>
      <c r="BF53" s="73">
        <f t="shared" si="31"/>
      </c>
      <c r="BG53" s="73">
        <f t="shared" si="32"/>
      </c>
      <c r="BH53" s="73">
        <f t="shared" si="33"/>
      </c>
      <c r="BI53" s="73">
        <f t="shared" si="96"/>
      </c>
      <c r="BJ53" s="73">
        <f t="shared" si="97"/>
      </c>
      <c r="BK53" s="40">
        <f t="shared" si="72"/>
      </c>
      <c r="BL53" s="40">
        <f t="shared" si="73"/>
      </c>
      <c r="BM53" s="40">
        <f t="shared" si="74"/>
      </c>
      <c r="BN53" s="40">
        <f t="shared" si="34"/>
      </c>
      <c r="BO53" s="40">
        <f aca="true" t="shared" si="101" ref="BO53:BO86">IF(B53="","",MAX(CR53:CT53)-CC53+1.25*CC53)</f>
      </c>
      <c r="BP53" s="40">
        <f t="shared" si="35"/>
      </c>
      <c r="BQ53" s="40">
        <f t="shared" si="36"/>
      </c>
      <c r="BR53" s="40">
        <f t="shared" si="37"/>
      </c>
      <c r="BS53" s="40">
        <f t="shared" si="75"/>
      </c>
      <c r="BT53" s="40">
        <f t="shared" si="99"/>
      </c>
      <c r="BU53" s="40">
        <f t="shared" si="39"/>
      </c>
      <c r="BV53" s="75">
        <f t="shared" si="40"/>
      </c>
      <c r="BW53" s="75">
        <f t="shared" si="41"/>
      </c>
      <c r="BX53" s="40">
        <f aca="true" t="shared" si="102" ref="BX53:BX86">IF(B53="","",$D$6/SQRT((BV53-U53)^2+(BW53-AB53+$S$12)^2)/1000)</f>
      </c>
      <c r="BY53" s="40">
        <f aca="true" t="shared" si="103" ref="BY53:BY86">IF(B53="","",SUMIF(Tipo_cable,J53,Constante_k)*K53/SQRT(IF(BZ53="",0.7,BZ53))/1000)</f>
      </c>
      <c r="BZ53" s="61"/>
      <c r="CA53" s="73">
        <f t="shared" si="43"/>
      </c>
      <c r="CB53" s="84"/>
      <c r="CC53" s="73">
        <f t="shared" si="44"/>
      </c>
      <c r="CD53" s="73">
        <f t="shared" si="85"/>
      </c>
      <c r="CE53" s="73">
        <f t="shared" si="86"/>
      </c>
      <c r="CF53" s="73">
        <f t="shared" si="87"/>
      </c>
      <c r="CG53" s="73">
        <f t="shared" si="48"/>
      </c>
      <c r="CH53" s="73">
        <f t="shared" si="49"/>
      </c>
      <c r="CI53" s="73">
        <f t="shared" si="50"/>
      </c>
      <c r="CJ53" s="76">
        <f t="shared" si="51"/>
      </c>
      <c r="CK53" s="76">
        <f t="shared" si="76"/>
      </c>
      <c r="CL53" s="76">
        <f t="shared" si="77"/>
      </c>
      <c r="CM53" s="76">
        <f t="shared" si="78"/>
      </c>
      <c r="CN53" s="40">
        <f aca="true" t="shared" si="104" ref="CN53:CN86">IF(B53="","",I53*(W53*F53+SUMIF(INICIO,$B53,I_cosfi)))</f>
      </c>
      <c r="CO53" s="40">
        <f t="shared" si="88"/>
      </c>
      <c r="CP53" s="40">
        <f t="shared" si="89"/>
      </c>
      <c r="CQ53" s="40">
        <f t="shared" si="90"/>
      </c>
      <c r="CR53" s="40">
        <f t="shared" si="91"/>
      </c>
      <c r="CS53" s="40">
        <f t="shared" si="81"/>
      </c>
      <c r="CT53" s="40">
        <f t="shared" si="55"/>
      </c>
      <c r="CU53" s="40">
        <f t="shared" si="93"/>
      </c>
      <c r="CV53" s="40">
        <f t="shared" si="94"/>
      </c>
      <c r="CW53" s="40">
        <f t="shared" si="95"/>
      </c>
      <c r="CX53" s="40">
        <f t="shared" si="82"/>
      </c>
      <c r="CY53" s="40">
        <f t="shared" si="83"/>
      </c>
      <c r="CZ53" s="40">
        <f t="shared" si="92"/>
      </c>
      <c r="DA53" s="40">
        <f>IF($X53="","",X53*AL53^2+Y53*AO53^2+Z53*AR53^2)</f>
      </c>
    </row>
    <row r="54" spans="1:105" ht="12.75">
      <c r="A54" s="61"/>
      <c r="B54" s="61"/>
      <c r="C54" s="61"/>
      <c r="D54" s="61"/>
      <c r="E54" s="61"/>
      <c r="F54" s="61"/>
      <c r="G54" s="61"/>
      <c r="H54" s="120"/>
      <c r="I54" s="61"/>
      <c r="J54" s="61"/>
      <c r="K54" s="61"/>
      <c r="L54" s="61"/>
      <c r="M54" s="61"/>
      <c r="N54" s="61"/>
      <c r="O54" s="61"/>
      <c r="P54" s="61"/>
      <c r="Q54" s="120"/>
      <c r="R54" s="120"/>
      <c r="S54" s="120"/>
      <c r="T54" s="120"/>
      <c r="U54" s="72">
        <f t="shared" si="84"/>
      </c>
      <c r="V54" s="72">
        <f t="shared" si="12"/>
      </c>
      <c r="W54" s="73">
        <f t="shared" si="13"/>
      </c>
      <c r="X54" s="72">
        <f t="shared" si="14"/>
      </c>
      <c r="Y54" s="72">
        <f t="shared" si="15"/>
      </c>
      <c r="Z54" s="72">
        <f t="shared" si="16"/>
      </c>
      <c r="AA54" s="72">
        <f t="shared" si="17"/>
      </c>
      <c r="AB54" s="72">
        <f t="shared" si="18"/>
      </c>
      <c r="AC54" s="72">
        <f t="shared" si="19"/>
      </c>
      <c r="AD54" s="74">
        <f t="shared" si="100"/>
      </c>
      <c r="AE54" s="73">
        <f>IF(B54="","",MAX(AL54,MAX(AO54,AR54))-CC54+1.25*CC54)</f>
      </c>
      <c r="AF54" s="40">
        <f t="shared" si="62"/>
      </c>
      <c r="AG54" s="40">
        <f t="shared" si="98"/>
      </c>
      <c r="AH54" s="40">
        <f t="shared" si="22"/>
      </c>
      <c r="AI54" s="270">
        <f>IF(B54="","",100*AH54/$D$5)</f>
      </c>
      <c r="AJ54" s="40">
        <f>IF($B54="","",I54*IF($G$14="Sí",IF(OR($D54="R",$D54="RST"),IF($D$2="Sí",IF($G54="Motor",$D$6*$W54/(BB54^2),$W54/$D$6)*($AV54*$F54+$AW54*SIN(ACOS($F54))),$W54*$F54))+SUMIF(INICIO,$B54,R_RE),0))</f>
      </c>
      <c r="AK54" s="40">
        <f>IF(B54="","",I54*IF($G$14="Sí",IF(OR($D54="R",$D54="RST"),IF($D$2="Sí",IF($G54="Motor",$D$6*$W54/(BB54^2),$W54/$D$6)*($AW54*$F54-$AV54*SIN(ACOS($F54))),-$W54*SIN(ACOS($F54))))+SUMIF(INICIO,$B54,R_IM),0))</f>
      </c>
      <c r="AL54" s="273">
        <f>IF(B54="","",SQRT(AJ54^2+AK54^2))</f>
      </c>
      <c r="AM54" s="40">
        <f>IF(B54="","",I54*IF($H$14="Sí",IF(OR($D54="S",$D54="RST"),IF($D$2="Sí",IF($G54="Motor",$D$6*$W54/(BC54^2),$W54/$D$6)*($AX54*$F54+$AY54*SIN(ACOS($F54))),-$W54*$F54/2-SQRT(3)/2*$W54*SIN(ACOS($F54))))+SUMIF(INICIO,$B54,S_RE),0))</f>
      </c>
      <c r="AN54" s="40">
        <f>IF(B54="","",I54*IF($H$14="Sí",IF(OR($D54="S",$D54="RST"),IF($D$2="Sí",IF($G54="Motor",$D$6*$W54/(BC54^2),$W54/$D$6)*($AY54*$F54-$AX54*SIN(ACOS($F54))),-SQRT(3)/2*$W54*$F54+0.5*$W54*SIN(ACOS($F54))))+SUMIF(INICIO,$B54,S_IM),0))</f>
      </c>
      <c r="AO54" s="273">
        <f>IF(B54="","",SQRT(AM54^2+AN54^2))</f>
      </c>
      <c r="AP54" s="40">
        <f>IF(B54="","",I54*IF($I$14="Sí",IF(OR($D54="T",$D54="RST"),IF($D$2="Sí",IF($G54="Motor",$D$6*$W54/(BD54^2),$W54/$D$6)*($AZ54*$F54+$BA54*SIN(ACOS($F54))),-$W54*$F54/2+SQRT(3)/2*$W54*SIN(ACOS($F54))))+SUMIF(INICIO,$B54,T_RE),0))</f>
      </c>
      <c r="AQ54" s="272">
        <f>IF(B54="","",I54*IF($I$14="Sí",IF(OR($D54="T",$D54="RST"),IF($D$2="Sí",IF($G54="Motor",$D$6*$W54/(BD54^2),$W54/$D$6)*($BA54*$F54-$AZ54*SIN(ACOS($F54))),SQRT(3)/2*$W54*$F54+0.5*$W54*SIN(ACOS($F54))))+SUMIF(INICIO,$B54,T_IM),0))</f>
      </c>
      <c r="AR54" s="40">
        <f>IF(B54="","",SQRT(AP54^2+AQ54^2))</f>
      </c>
      <c r="AS54" s="40">
        <f>IF(B54="","",AJ54+AM54+AP54)</f>
      </c>
      <c r="AT54" s="40">
        <f>IF(B54="","",AK54+AN54+AQ54)</f>
      </c>
      <c r="AU54" s="40">
        <f>IF(B54="","",SQRT(AS54^2+AT54^2))</f>
      </c>
      <c r="AV54" s="73">
        <f>IF(B54="","",SUMIF(FINAL,$A54,ac_R_Re)-($X54*$AJ54-$AB54*$AK54)-($AA54*$AS54-$AC54*$AT54))</f>
      </c>
      <c r="AW54" s="73">
        <f>IF(B54="","",SUMIF(FINAL,$A54,ac_R_Im)-($X54*$AK54+$AB54*$AJ54)-($AA54*$AT54+$AC54*$AS54))</f>
      </c>
      <c r="AX54" s="73">
        <f>IF(B54="","",SUMIF(FINAL,$A54,ac_S_Re)-($Y54*$AM54-$AB54*$AN54)-($AA54*$AS54-$AC54*$AT54))</f>
      </c>
      <c r="AY54" s="73">
        <f>IF(B54="","",SUMIF(FINAL,$A54,ac_S_Im)-($Y54*$AN54+$AB54*$AM54)-($AA54*$AT54+$AC54*$AS54))</f>
      </c>
      <c r="AZ54" s="73">
        <f>IF(B54="","",SUMIF(FINAL,$A54,ac_T_Re)-($Z54*$AP54-$AB54*$AQ54)-($AA54*$AS54-$AC54*$AT54))</f>
      </c>
      <c r="BA54" s="73">
        <f>IF(B54="","",SUMIF(FINAL,$A54,ac_T_Im)-($Z54*$AQ54+$AB54*$AP54)-($AA54*$AT54+$AC54*$AS54))</f>
      </c>
      <c r="BB54" s="73">
        <f>IF(B54="","",SQRT(AV54^2+AW54^2))</f>
      </c>
      <c r="BC54" s="73">
        <f>IF(B54="","",SQRT(AX54^2+AY54^2))</f>
      </c>
      <c r="BD54" s="73">
        <f>IF(B54="","",SQRT(AZ54^2+BA54^2))</f>
      </c>
      <c r="BE54" s="73">
        <f>IF(B54="","",SQRT((AV54-AX54)^2+(AW54-AY54)^2))</f>
      </c>
      <c r="BF54" s="73">
        <f>IF(B54="","",SQRT((AX54-AZ54)^2+(AY54-BA54)^2))</f>
      </c>
      <c r="BG54" s="73">
        <f>IF(B54="","",SQRT((AZ54-AV54)^2+(BA54-AW54)^2))</f>
      </c>
      <c r="BH54" s="73">
        <f>IF(B54="","",100*($D$6-BB54)/$D$6)</f>
      </c>
      <c r="BI54" s="73">
        <f>IF(B54="","",100*($D$6-BC54)/$D$6)</f>
      </c>
      <c r="BJ54" s="73">
        <f>IF(B54="","",100*($D$6-BD54)/$D$6)</f>
      </c>
      <c r="BK54" s="40">
        <f>IF(B54="","",I54*(W54+SUMIF(INICIO,$B54,I_tramo)))</f>
      </c>
      <c r="BL54" s="40">
        <f>IF(B54="","",BK54-CC54+1.25*CC54)</f>
      </c>
      <c r="BM54" s="40">
        <f>IF(B54="","",SUMIF(FINAL,$A54,U_FINAL)-SQRT(3)*U54*CN54)</f>
      </c>
      <c r="BN54" s="40">
        <f>IF(B54="","",100*($D$5-BM54)/$D$5)</f>
      </c>
      <c r="BO54" s="40">
        <f>IF(B54="","",MAX(CR54:CT54)-CC54+1.25*CC54)</f>
      </c>
      <c r="BP54" s="40">
        <f>IF(B54="","",SUMIF(FINAL,$A54,U_FINAL_R)-SQRT(3)*U54*CX54)</f>
      </c>
      <c r="BQ54" s="40">
        <f>IF(B54="","",100*($D$5-BP54)/$D$5)</f>
      </c>
      <c r="BR54" s="40">
        <f>IF(B54="","",SUMIF(FINAL,$A54,U_FINAL_S)-SQRT(3)*U54*CY54)</f>
      </c>
      <c r="BS54" s="40">
        <f>IF(B54="","",100*($D$5-BR54)/$D$5)</f>
      </c>
      <c r="BT54" s="40">
        <f>IF(B54="","",SUMIF(FINAL,$A54,U_FINAL_T)-SQRT(3)*U54*CZ54)</f>
      </c>
      <c r="BU54" s="40">
        <f>IF(B54="","",100*($D$5-BT54)/$D$5)</f>
      </c>
      <c r="BV54" s="75">
        <f>IF(B54="","",U54+SUMIF(FINAL,$A54,R_FINAL))</f>
      </c>
      <c r="BW54" s="75">
        <f>IF(B54="","",AB54+SUMIF(FINAL,$A54,X_FINAL))</f>
      </c>
      <c r="BX54" s="40">
        <f>IF(B54="","",$D$6/SQRT((BV54-U54)^2+(BW54-AB54+$S$12)^2)/1000)</f>
      </c>
      <c r="BY54" s="40">
        <f>IF(B54="","",SUMIF(Tipo_cable,J54,Constante_k)*K54/SQRT(IF(BZ54="",0.7,BZ54))/1000)</f>
      </c>
      <c r="BZ54" s="61"/>
      <c r="CA54" s="73">
        <f t="shared" si="43"/>
      </c>
      <c r="CB54" s="84"/>
      <c r="CC54" s="73">
        <f t="shared" si="44"/>
      </c>
      <c r="CD54" s="73">
        <f t="shared" si="85"/>
      </c>
      <c r="CE54" s="73">
        <f t="shared" si="86"/>
      </c>
      <c r="CF54" s="73">
        <f t="shared" si="87"/>
      </c>
      <c r="CG54" s="73">
        <f t="shared" si="48"/>
      </c>
      <c r="CH54" s="73">
        <f t="shared" si="49"/>
      </c>
      <c r="CI54" s="73">
        <f t="shared" si="50"/>
      </c>
      <c r="CJ54" s="76">
        <f>IF(B54="","",C54*IF(P54="Unipolar/Cu",3,0))</f>
      </c>
      <c r="CK54" s="76">
        <f>IF(B54="","",C54*IF(P54="Unipolar/Al",3,0))</f>
      </c>
      <c r="CL54" s="76">
        <f>IF(B54="","",C54*IF(P54="Tripolar/Cu",1,0))</f>
      </c>
      <c r="CM54" s="76">
        <f>IF(B54="","",C54*IF(P54="Tripolar/Al",1,0))</f>
      </c>
      <c r="CN54" s="40">
        <f>IF(B54="","",I54*(W54*F54+SUMIF(INICIO,$B54,I_cosfi)))</f>
      </c>
      <c r="CO54" s="40">
        <f t="shared" si="88"/>
      </c>
      <c r="CP54" s="40">
        <f t="shared" si="89"/>
      </c>
      <c r="CQ54" s="40">
        <f t="shared" si="90"/>
      </c>
      <c r="CR54" s="40">
        <f t="shared" si="91"/>
      </c>
      <c r="CS54" s="40">
        <f>IF($B54="","",I54*IF($H$14="Sí",IF(OR($D54="S",$D54="RST"),$W54)+SUMIF(INICIO,$B54,I_tramoS),0))</f>
      </c>
      <c r="CT54" s="40">
        <f>IF($B54="","",I54*IF($I$14="Sí",IF(OR($D54="T",$D54="RST"),$W54)+SUMIF(INICIO,$B54,I_tramoT),0))</f>
      </c>
      <c r="CU54" s="40">
        <f t="shared" si="93"/>
      </c>
      <c r="CV54" s="40">
        <f t="shared" si="94"/>
      </c>
      <c r="CW54" s="40">
        <f t="shared" si="95"/>
      </c>
      <c r="CX54" s="40">
        <f>IF($B54="","",I54*IF($G$14="Sí",IF(OR($D54="R",$D54="RST"),$W54*F54)+SUMIF(INICIO,$B54,IR_cosfi),0))</f>
      </c>
      <c r="CY54" s="40">
        <f>IF($B54="","",I54*IF($H$14="Sí",IF(OR($D54="S",$D54="RST"),$W54*F54)+SUMIF(INICIO,$B54,IS_cosfi),0))</f>
      </c>
      <c r="CZ54" s="40">
        <f>IF($B54="","",I54*IF($I$14="Sí",IF(OR($D54="T",$D54="RST"),$W54*F54)+SUMIF(INICIO,$B54,IT_cosfi),0))</f>
      </c>
      <c r="DA54" s="40">
        <f>IF($X54="","",X54*AL54^2+Y54*AO54^2+Z54*AR54^2)</f>
      </c>
    </row>
    <row r="55" spans="1:105" ht="12.75">
      <c r="A55" s="61"/>
      <c r="B55" s="61"/>
      <c r="C55" s="61"/>
      <c r="D55" s="61"/>
      <c r="E55" s="61"/>
      <c r="F55" s="61"/>
      <c r="G55" s="61"/>
      <c r="H55" s="120"/>
      <c r="I55" s="61"/>
      <c r="J55" s="61"/>
      <c r="K55" s="61"/>
      <c r="L55" s="61"/>
      <c r="M55" s="61"/>
      <c r="N55" s="61"/>
      <c r="O55" s="61"/>
      <c r="P55" s="61"/>
      <c r="Q55" s="120"/>
      <c r="R55" s="120"/>
      <c r="S55" s="120"/>
      <c r="T55" s="120"/>
      <c r="U55" s="72">
        <f t="shared" si="84"/>
      </c>
      <c r="V55" s="72">
        <f t="shared" si="12"/>
      </c>
      <c r="W55" s="73">
        <f t="shared" si="13"/>
      </c>
      <c r="X55" s="72">
        <f t="shared" si="14"/>
      </c>
      <c r="Y55" s="72">
        <f t="shared" si="15"/>
      </c>
      <c r="Z55" s="72">
        <f t="shared" si="16"/>
      </c>
      <c r="AA55" s="72">
        <f t="shared" si="17"/>
      </c>
      <c r="AB55" s="72">
        <f t="shared" si="18"/>
      </c>
      <c r="AC55" s="72">
        <f t="shared" si="19"/>
      </c>
      <c r="AD55" s="74">
        <f t="shared" si="100"/>
      </c>
      <c r="AE55" s="73">
        <f t="shared" si="61"/>
      </c>
      <c r="AF55" s="40">
        <f t="shared" si="62"/>
      </c>
      <c r="AG55" s="40">
        <f t="shared" si="98"/>
      </c>
      <c r="AH55" s="40">
        <f t="shared" si="22"/>
      </c>
      <c r="AI55" s="270">
        <f t="shared" si="23"/>
      </c>
      <c r="AJ55" s="40">
        <f>IF($B55="","",I55*IF($G$14="Sí",IF(OR($D55="R",$D55="RST"),IF($D$2="Sí",IF($G55="Motor",$D$6*$W55/(BB55^2),$W55/$D$6)*($AV55*$F55+$AW55*SIN(ACOS($F55))),$W55*$F55))+SUMIF(INICIO,$B55,R_RE),0))</f>
      </c>
      <c r="AK55" s="40">
        <f>IF(B55="","",I55*IF($G$14="Sí",IF(OR($D55="R",$D55="RST"),IF($D$2="Sí",IF($G55="Motor",$D$6*$W55/(BB55^2),$W55/$D$6)*($AW55*$F55-$AV55*SIN(ACOS($F55))),-$W55*SIN(ACOS($F55))))+SUMIF(INICIO,$B55,R_IM),0))</f>
      </c>
      <c r="AL55" s="273">
        <f t="shared" si="24"/>
      </c>
      <c r="AM55" s="40">
        <f>IF(B55="","",I55*IF($H$14="Sí",IF(OR($D55="S",$D55="RST"),IF($D$2="Sí",IF($G55="Motor",$D$6*$W55/(BC55^2),$W55/$D$6)*($AX55*$F55+$AY55*SIN(ACOS($F55))),-$W55*$F55/2-SQRT(3)/2*$W55*SIN(ACOS($F55))))+SUMIF(INICIO,$B55,S_RE),0))</f>
      </c>
      <c r="AN55" s="40">
        <f>IF(B55="","",I55*IF($H$14="Sí",IF(OR($D55="S",$D55="RST"),IF($D$2="Sí",IF($G55="Motor",$D$6*$W55/(BC55^2),$W55/$D$6)*($AY55*$F55-$AX55*SIN(ACOS($F55))),-SQRT(3)/2*$W55*$F55+0.5*$W55*SIN(ACOS($F55))))+SUMIF(INICIO,$B55,S_IM),0))</f>
      </c>
      <c r="AO55" s="273">
        <f t="shared" si="25"/>
      </c>
      <c r="AP55" s="40">
        <f>IF(B55="","",I55*IF($I$14="Sí",IF(OR($D55="T",$D55="RST"),IF($D$2="Sí",IF($G55="Motor",$D$6*$W55/(BD55^2),$W55/$D$6)*($AZ55*$F55+$BA55*SIN(ACOS($F55))),-$W55*$F55/2+SQRT(3)/2*$W55*SIN(ACOS($F55))))+SUMIF(INICIO,$B55,T_RE),0))</f>
      </c>
      <c r="AQ55" s="272">
        <f>IF(B55="","",I55*IF($I$14="Sí",IF(OR($D55="T",$D55="RST"),IF($D$2="Sí",IF($G55="Motor",$D$6*$W55/(BD55^2),$W55/$D$6)*($BA55*$F55-$AZ55*SIN(ACOS($F55))),SQRT(3)/2*$W55*$F55+0.5*$W55*SIN(ACOS($F55))))+SUMIF(INICIO,$B55,T_IM),0))</f>
      </c>
      <c r="AR55" s="40">
        <f t="shared" si="26"/>
      </c>
      <c r="AS55" s="40">
        <f t="shared" si="27"/>
      </c>
      <c r="AT55" s="40">
        <f t="shared" si="28"/>
      </c>
      <c r="AU55" s="40">
        <f t="shared" si="29"/>
      </c>
      <c r="AV55" s="73">
        <f t="shared" si="63"/>
      </c>
      <c r="AW55" s="73">
        <f t="shared" si="64"/>
      </c>
      <c r="AX55" s="73">
        <f t="shared" si="65"/>
      </c>
      <c r="AY55" s="73">
        <f t="shared" si="66"/>
      </c>
      <c r="AZ55" s="73">
        <f t="shared" si="67"/>
      </c>
      <c r="BA55" s="73">
        <f t="shared" si="68"/>
      </c>
      <c r="BB55" s="73">
        <f t="shared" si="69"/>
      </c>
      <c r="BC55" s="73">
        <f t="shared" si="70"/>
      </c>
      <c r="BD55" s="73">
        <f t="shared" si="71"/>
      </c>
      <c r="BE55" s="73">
        <f t="shared" si="30"/>
      </c>
      <c r="BF55" s="73">
        <f t="shared" si="31"/>
      </c>
      <c r="BG55" s="73">
        <f t="shared" si="32"/>
      </c>
      <c r="BH55" s="73">
        <f t="shared" si="33"/>
      </c>
      <c r="BI55" s="73">
        <f t="shared" si="96"/>
      </c>
      <c r="BJ55" s="73">
        <f t="shared" si="97"/>
      </c>
      <c r="BK55" s="40">
        <f t="shared" si="72"/>
      </c>
      <c r="BL55" s="40">
        <f t="shared" si="73"/>
      </c>
      <c r="BM55" s="40">
        <f t="shared" si="74"/>
      </c>
      <c r="BN55" s="40">
        <f t="shared" si="34"/>
      </c>
      <c r="BO55" s="40">
        <f t="shared" si="101"/>
      </c>
      <c r="BP55" s="40">
        <f aca="true" t="shared" si="105" ref="BP55:BP87">IF(B55="","",SUMIF(FINAL,$A55,U_FINAL_R)-SQRT(3)*U55*CX55)</f>
      </c>
      <c r="BQ55" s="40">
        <f t="shared" si="36"/>
      </c>
      <c r="BR55" s="40">
        <f aca="true" t="shared" si="106" ref="BR55:BR87">IF(B55="","",SUMIF(FINAL,$A55,U_FINAL_S)-SQRT(3)*U55*CY55)</f>
      </c>
      <c r="BS55" s="40">
        <f t="shared" si="75"/>
      </c>
      <c r="BT55" s="40">
        <f aca="true" t="shared" si="107" ref="BT55:BT66">IF(B55="","",SUMIF(FINAL,$A55,U_FINAL_T)-SQRT(3)*U55*CZ55)</f>
      </c>
      <c r="BU55" s="40">
        <f t="shared" si="39"/>
      </c>
      <c r="BV55" s="75">
        <f t="shared" si="40"/>
      </c>
      <c r="BW55" s="75">
        <f t="shared" si="41"/>
      </c>
      <c r="BX55" s="40">
        <f t="shared" si="102"/>
      </c>
      <c r="BY55" s="40">
        <f t="shared" si="103"/>
      </c>
      <c r="BZ55" s="61"/>
      <c r="CA55" s="73">
        <f t="shared" si="43"/>
      </c>
      <c r="CB55" s="84"/>
      <c r="CC55" s="73">
        <f t="shared" si="44"/>
      </c>
      <c r="CD55" s="73">
        <f t="shared" si="85"/>
      </c>
      <c r="CE55" s="73">
        <f t="shared" si="86"/>
      </c>
      <c r="CF55" s="73">
        <f t="shared" si="87"/>
      </c>
      <c r="CG55" s="73">
        <f t="shared" si="48"/>
      </c>
      <c r="CH55" s="73">
        <f t="shared" si="49"/>
      </c>
      <c r="CI55" s="73">
        <f t="shared" si="50"/>
      </c>
      <c r="CJ55" s="76">
        <f t="shared" si="51"/>
      </c>
      <c r="CK55" s="76">
        <f t="shared" si="76"/>
      </c>
      <c r="CL55" s="76">
        <f t="shared" si="77"/>
      </c>
      <c r="CM55" s="76">
        <f t="shared" si="78"/>
      </c>
      <c r="CN55" s="40">
        <f t="shared" si="104"/>
      </c>
      <c r="CO55" s="40">
        <f t="shared" si="88"/>
      </c>
      <c r="CP55" s="40">
        <f t="shared" si="89"/>
      </c>
      <c r="CQ55" s="40">
        <f t="shared" si="90"/>
      </c>
      <c r="CR55" s="40">
        <f t="shared" si="91"/>
      </c>
      <c r="CS55" s="40">
        <f t="shared" si="81"/>
      </c>
      <c r="CT55" s="40">
        <f t="shared" si="55"/>
      </c>
      <c r="CU55" s="40">
        <f t="shared" si="93"/>
      </c>
      <c r="CV55" s="40">
        <f t="shared" si="94"/>
      </c>
      <c r="CW55" s="40">
        <f t="shared" si="95"/>
      </c>
      <c r="CX55" s="40">
        <f t="shared" si="82"/>
      </c>
      <c r="CY55" s="40">
        <f t="shared" si="83"/>
      </c>
      <c r="CZ55" s="40">
        <f t="shared" si="92"/>
      </c>
      <c r="DA55" s="40">
        <f t="shared" si="60"/>
      </c>
    </row>
    <row r="56" spans="1:105" ht="12.75">
      <c r="A56" s="61"/>
      <c r="B56" s="61"/>
      <c r="C56" s="61"/>
      <c r="D56" s="61"/>
      <c r="E56" s="61"/>
      <c r="F56" s="61"/>
      <c r="G56" s="61"/>
      <c r="H56" s="120"/>
      <c r="I56" s="61"/>
      <c r="J56" s="61"/>
      <c r="K56" s="61"/>
      <c r="L56" s="61"/>
      <c r="M56" s="61"/>
      <c r="N56" s="61"/>
      <c r="O56" s="61"/>
      <c r="P56" s="61"/>
      <c r="Q56" s="120"/>
      <c r="R56" s="120"/>
      <c r="S56" s="120"/>
      <c r="T56" s="120"/>
      <c r="U56" s="72">
        <f t="shared" si="84"/>
      </c>
      <c r="V56" s="72">
        <f t="shared" si="12"/>
      </c>
      <c r="W56" s="73">
        <f t="shared" si="13"/>
      </c>
      <c r="X56" s="72">
        <f t="shared" si="14"/>
      </c>
      <c r="Y56" s="72">
        <f t="shared" si="15"/>
      </c>
      <c r="Z56" s="72">
        <f t="shared" si="16"/>
      </c>
      <c r="AA56" s="72">
        <f t="shared" si="17"/>
      </c>
      <c r="AB56" s="72">
        <f t="shared" si="18"/>
      </c>
      <c r="AC56" s="72">
        <f t="shared" si="19"/>
      </c>
      <c r="AD56" s="74">
        <f t="shared" si="100"/>
      </c>
      <c r="AE56" s="73">
        <f t="shared" si="61"/>
      </c>
      <c r="AF56" s="40">
        <f t="shared" si="62"/>
      </c>
      <c r="AG56" s="40">
        <f t="shared" si="98"/>
      </c>
      <c r="AH56" s="40">
        <f t="shared" si="22"/>
      </c>
      <c r="AI56" s="270">
        <f t="shared" si="23"/>
      </c>
      <c r="AJ56" s="40">
        <f>IF($B56="","",I56*IF($G$14="Sí",IF(OR($D56="R",$D56="RST"),IF($D$2="Sí",IF($G56="Motor",$D$6*$W56/(BB56^2),$W56/$D$6)*($AV56*$F56+$AW56*SIN(ACOS($F56))),$W56*$F56))+SUMIF(INICIO,$B56,R_RE),0))</f>
      </c>
      <c r="AK56" s="40">
        <f>IF(B56="","",I56*IF($G$14="Sí",IF(OR($D56="R",$D56="RST"),IF($D$2="Sí",IF($G56="Motor",$D$6*$W56/(BB56^2),$W56/$D$6)*($AW56*$F56-$AV56*SIN(ACOS($F56))),-$W56*SIN(ACOS($F56))))+SUMIF(INICIO,$B56,R_IM),0))</f>
      </c>
      <c r="AL56" s="273">
        <f t="shared" si="24"/>
      </c>
      <c r="AM56" s="40">
        <f>IF(B56="","",I56*IF($H$14="Sí",IF(OR($D56="S",$D56="RST"),IF($D$2="Sí",IF($G56="Motor",$D$6*$W56/(BC56^2),$W56/$D$6)*($AX56*$F56+$AY56*SIN(ACOS($F56))),-$W56*$F56/2-SQRT(3)/2*$W56*SIN(ACOS($F56))))+SUMIF(INICIO,$B56,S_RE),0))</f>
      </c>
      <c r="AN56" s="40">
        <f>IF(B56="","",I56*IF($H$14="Sí",IF(OR($D56="S",$D56="RST"),IF($D$2="Sí",IF($G56="Motor",$D$6*$W56/(BC56^2),$W56/$D$6)*($AY56*$F56-$AX56*SIN(ACOS($F56))),-SQRT(3)/2*$W56*$F56+0.5*$W56*SIN(ACOS($F56))))+SUMIF(INICIO,$B56,S_IM),0))</f>
      </c>
      <c r="AO56" s="273">
        <f t="shared" si="25"/>
      </c>
      <c r="AP56" s="40">
        <f>IF(B56="","",I56*IF($I$14="Sí",IF(OR($D56="T",$D56="RST"),IF($D$2="Sí",IF($G56="Motor",$D$6*$W56/(BD56^2),$W56/$D$6)*($AZ56*$F56+$BA56*SIN(ACOS($F56))),-$W56*$F56/2+SQRT(3)/2*$W56*SIN(ACOS($F56))))+SUMIF(INICIO,$B56,T_RE),0))</f>
      </c>
      <c r="AQ56" s="272">
        <f>IF(B56="","",I56*IF($I$14="Sí",IF(OR($D56="T",$D56="RST"),IF($D$2="Sí",IF($G56="Motor",$D$6*$W56/(BD56^2),$W56/$D$6)*($BA56*$F56-$AZ56*SIN(ACOS($F56))),SQRT(3)/2*$W56*$F56+0.5*$W56*SIN(ACOS($F56))))+SUMIF(INICIO,$B56,T_IM),0))</f>
      </c>
      <c r="AR56" s="40">
        <f t="shared" si="26"/>
      </c>
      <c r="AS56" s="40">
        <f t="shared" si="27"/>
      </c>
      <c r="AT56" s="40">
        <f t="shared" si="28"/>
      </c>
      <c r="AU56" s="40">
        <f t="shared" si="29"/>
      </c>
      <c r="AV56" s="73">
        <f t="shared" si="63"/>
      </c>
      <c r="AW56" s="73">
        <f t="shared" si="64"/>
      </c>
      <c r="AX56" s="73">
        <f t="shared" si="65"/>
      </c>
      <c r="AY56" s="73">
        <f t="shared" si="66"/>
      </c>
      <c r="AZ56" s="73">
        <f t="shared" si="67"/>
      </c>
      <c r="BA56" s="73">
        <f t="shared" si="68"/>
      </c>
      <c r="BB56" s="73">
        <f t="shared" si="69"/>
      </c>
      <c r="BC56" s="73">
        <f t="shared" si="70"/>
      </c>
      <c r="BD56" s="73">
        <f t="shared" si="71"/>
      </c>
      <c r="BE56" s="73">
        <f t="shared" si="30"/>
      </c>
      <c r="BF56" s="73">
        <f t="shared" si="31"/>
      </c>
      <c r="BG56" s="73">
        <f t="shared" si="32"/>
      </c>
      <c r="BH56" s="73">
        <f t="shared" si="33"/>
      </c>
      <c r="BI56" s="73">
        <f t="shared" si="96"/>
      </c>
      <c r="BJ56" s="73">
        <f t="shared" si="97"/>
      </c>
      <c r="BK56" s="40">
        <f t="shared" si="72"/>
      </c>
      <c r="BL56" s="40">
        <f t="shared" si="73"/>
      </c>
      <c r="BM56" s="40">
        <f t="shared" si="74"/>
      </c>
      <c r="BN56" s="40">
        <f t="shared" si="34"/>
      </c>
      <c r="BO56" s="40">
        <f t="shared" si="101"/>
      </c>
      <c r="BP56" s="40">
        <f t="shared" si="105"/>
      </c>
      <c r="BQ56" s="40">
        <f t="shared" si="36"/>
      </c>
      <c r="BR56" s="40">
        <f t="shared" si="106"/>
      </c>
      <c r="BS56" s="40">
        <f t="shared" si="75"/>
      </c>
      <c r="BT56" s="40">
        <f t="shared" si="107"/>
      </c>
      <c r="BU56" s="40">
        <f t="shared" si="39"/>
      </c>
      <c r="BV56" s="75">
        <f t="shared" si="40"/>
      </c>
      <c r="BW56" s="75">
        <f t="shared" si="41"/>
      </c>
      <c r="BX56" s="40">
        <f t="shared" si="102"/>
      </c>
      <c r="BY56" s="40">
        <f t="shared" si="103"/>
      </c>
      <c r="BZ56" s="61"/>
      <c r="CA56" s="73">
        <f t="shared" si="43"/>
      </c>
      <c r="CB56" s="84"/>
      <c r="CC56" s="73">
        <f t="shared" si="44"/>
      </c>
      <c r="CD56" s="73">
        <f t="shared" si="85"/>
      </c>
      <c r="CE56" s="73">
        <f t="shared" si="86"/>
      </c>
      <c r="CF56" s="73">
        <f t="shared" si="87"/>
      </c>
      <c r="CG56" s="73">
        <f t="shared" si="48"/>
      </c>
      <c r="CH56" s="73">
        <f t="shared" si="49"/>
      </c>
      <c r="CI56" s="73">
        <f t="shared" si="50"/>
      </c>
      <c r="CJ56" s="76">
        <f t="shared" si="51"/>
      </c>
      <c r="CK56" s="76">
        <f t="shared" si="76"/>
      </c>
      <c r="CL56" s="76">
        <f t="shared" si="77"/>
      </c>
      <c r="CM56" s="76">
        <f t="shared" si="78"/>
      </c>
      <c r="CN56" s="40">
        <f t="shared" si="104"/>
      </c>
      <c r="CO56" s="40">
        <f t="shared" si="88"/>
      </c>
      <c r="CP56" s="40">
        <f t="shared" si="89"/>
      </c>
      <c r="CQ56" s="40">
        <f t="shared" si="90"/>
      </c>
      <c r="CR56" s="40">
        <f t="shared" si="91"/>
      </c>
      <c r="CS56" s="40">
        <f t="shared" si="81"/>
      </c>
      <c r="CT56" s="40">
        <f t="shared" si="55"/>
      </c>
      <c r="CU56" s="40">
        <f t="shared" si="93"/>
      </c>
      <c r="CV56" s="40">
        <f t="shared" si="94"/>
      </c>
      <c r="CW56" s="40">
        <f t="shared" si="95"/>
      </c>
      <c r="CX56" s="40">
        <f t="shared" si="82"/>
      </c>
      <c r="CY56" s="40">
        <f t="shared" si="83"/>
      </c>
      <c r="CZ56" s="40">
        <f t="shared" si="92"/>
      </c>
      <c r="DA56" s="40">
        <f t="shared" si="60"/>
      </c>
    </row>
    <row r="57" spans="1:105" ht="12.75">
      <c r="A57" s="61"/>
      <c r="B57" s="61"/>
      <c r="C57" s="61"/>
      <c r="D57" s="61"/>
      <c r="E57" s="61"/>
      <c r="F57" s="61"/>
      <c r="G57" s="61"/>
      <c r="H57" s="120"/>
      <c r="I57" s="61"/>
      <c r="J57" s="61"/>
      <c r="K57" s="61"/>
      <c r="L57" s="61"/>
      <c r="M57" s="61"/>
      <c r="N57" s="61"/>
      <c r="O57" s="61"/>
      <c r="P57" s="61"/>
      <c r="Q57" s="120"/>
      <c r="R57" s="120"/>
      <c r="S57" s="120"/>
      <c r="T57" s="120"/>
      <c r="U57" s="72">
        <f t="shared" si="84"/>
      </c>
      <c r="V57" s="72">
        <f t="shared" si="12"/>
      </c>
      <c r="W57" s="73">
        <f t="shared" si="13"/>
      </c>
      <c r="X57" s="72">
        <f t="shared" si="14"/>
      </c>
      <c r="Y57" s="72">
        <f t="shared" si="15"/>
      </c>
      <c r="Z57" s="72">
        <f t="shared" si="16"/>
      </c>
      <c r="AA57" s="72">
        <f t="shared" si="17"/>
      </c>
      <c r="AB57" s="72">
        <f t="shared" si="18"/>
      </c>
      <c r="AC57" s="72">
        <f t="shared" si="19"/>
      </c>
      <c r="AD57" s="74">
        <f t="shared" si="100"/>
      </c>
      <c r="AE57" s="73">
        <f t="shared" si="61"/>
      </c>
      <c r="AF57" s="40">
        <f t="shared" si="62"/>
      </c>
      <c r="AG57" s="40">
        <f t="shared" si="98"/>
      </c>
      <c r="AH57" s="40">
        <f t="shared" si="22"/>
      </c>
      <c r="AI57" s="270">
        <f t="shared" si="23"/>
      </c>
      <c r="AJ57" s="40">
        <f>IF($B57="","",I57*IF($G$14="Sí",IF(OR($D57="R",$D57="RST"),IF($D$2="Sí",IF($G57="Motor",$D$6*$W57/(BB57^2),$W57/$D$6)*($AV57*$F57+$AW57*SIN(ACOS($F57))),$W57*$F57))+SUMIF(INICIO,$B57,R_RE),0))</f>
      </c>
      <c r="AK57" s="40">
        <f>IF(B57="","",I57*IF($G$14="Sí",IF(OR($D57="R",$D57="RST"),IF($D$2="Sí",IF($G57="Motor",$D$6*$W57/(BB57^2),$W57/$D$6)*($AW57*$F57-$AV57*SIN(ACOS($F57))),-$W57*SIN(ACOS($F57))))+SUMIF(INICIO,$B57,R_IM),0))</f>
      </c>
      <c r="AL57" s="273">
        <f t="shared" si="24"/>
      </c>
      <c r="AM57" s="40">
        <f>IF(B57="","",I57*IF($H$14="Sí",IF(OR($D57="S",$D57="RST"),IF($D$2="Sí",IF($G57="Motor",$D$6*$W57/(BC57^2),$W57/$D$6)*($AX57*$F57+$AY57*SIN(ACOS($F57))),-$W57*$F57/2-SQRT(3)/2*$W57*SIN(ACOS($F57))))+SUMIF(INICIO,$B57,S_RE),0))</f>
      </c>
      <c r="AN57" s="40">
        <f>IF(B57="","",I57*IF($H$14="Sí",IF(OR($D57="S",$D57="RST"),IF($D$2="Sí",IF($G57="Motor",$D$6*$W57/(BC57^2),$W57/$D$6)*($AY57*$F57-$AX57*SIN(ACOS($F57))),-SQRT(3)/2*$W57*$F57+0.5*$W57*SIN(ACOS($F57))))+SUMIF(INICIO,$B57,S_IM),0))</f>
      </c>
      <c r="AO57" s="273">
        <f t="shared" si="25"/>
      </c>
      <c r="AP57" s="40">
        <f>IF(B57="","",I57*IF($I$14="Sí",IF(OR($D57="T",$D57="RST"),IF($D$2="Sí",IF($G57="Motor",$D$6*$W57/(BD57^2),$W57/$D$6)*($AZ57*$F57+$BA57*SIN(ACOS($F57))),-$W57*$F57/2+SQRT(3)/2*$W57*SIN(ACOS($F57))))+SUMIF(INICIO,$B57,T_RE),0))</f>
      </c>
      <c r="AQ57" s="272">
        <f>IF(B57="","",I57*IF($I$14="Sí",IF(OR($D57="T",$D57="RST"),IF($D$2="Sí",IF($G57="Motor",$D$6*$W57/(BD57^2),$W57/$D$6)*($BA57*$F57-$AZ57*SIN(ACOS($F57))),SQRT(3)/2*$W57*$F57+0.5*$W57*SIN(ACOS($F57))))+SUMIF(INICIO,$B57,T_IM),0))</f>
      </c>
      <c r="AR57" s="40">
        <f t="shared" si="26"/>
      </c>
      <c r="AS57" s="40">
        <f t="shared" si="27"/>
      </c>
      <c r="AT57" s="40">
        <f t="shared" si="28"/>
      </c>
      <c r="AU57" s="40">
        <f t="shared" si="29"/>
      </c>
      <c r="AV57" s="73">
        <f t="shared" si="63"/>
      </c>
      <c r="AW57" s="73">
        <f t="shared" si="64"/>
      </c>
      <c r="AX57" s="73">
        <f t="shared" si="65"/>
      </c>
      <c r="AY57" s="73">
        <f t="shared" si="66"/>
      </c>
      <c r="AZ57" s="73">
        <f t="shared" si="67"/>
      </c>
      <c r="BA57" s="73">
        <f t="shared" si="68"/>
      </c>
      <c r="BB57" s="73">
        <f t="shared" si="69"/>
      </c>
      <c r="BC57" s="73">
        <f t="shared" si="70"/>
      </c>
      <c r="BD57" s="73">
        <f t="shared" si="71"/>
      </c>
      <c r="BE57" s="73">
        <f t="shared" si="30"/>
      </c>
      <c r="BF57" s="73">
        <f t="shared" si="31"/>
      </c>
      <c r="BG57" s="73">
        <f t="shared" si="32"/>
      </c>
      <c r="BH57" s="73">
        <f t="shared" si="33"/>
      </c>
      <c r="BI57" s="73">
        <f t="shared" si="96"/>
      </c>
      <c r="BJ57" s="73">
        <f t="shared" si="97"/>
      </c>
      <c r="BK57" s="40">
        <f t="shared" si="72"/>
      </c>
      <c r="BL57" s="40">
        <f t="shared" si="73"/>
      </c>
      <c r="BM57" s="40">
        <f t="shared" si="74"/>
      </c>
      <c r="BN57" s="40">
        <f t="shared" si="34"/>
      </c>
      <c r="BO57" s="40">
        <f t="shared" si="101"/>
      </c>
      <c r="BP57" s="40">
        <f t="shared" si="105"/>
      </c>
      <c r="BQ57" s="40">
        <f t="shared" si="36"/>
      </c>
      <c r="BR57" s="40">
        <f t="shared" si="106"/>
      </c>
      <c r="BS57" s="40">
        <f t="shared" si="75"/>
      </c>
      <c r="BT57" s="40">
        <f t="shared" si="107"/>
      </c>
      <c r="BU57" s="40">
        <f t="shared" si="39"/>
      </c>
      <c r="BV57" s="75">
        <f t="shared" si="40"/>
      </c>
      <c r="BW57" s="75">
        <f t="shared" si="41"/>
      </c>
      <c r="BX57" s="40">
        <f t="shared" si="102"/>
      </c>
      <c r="BY57" s="40">
        <f t="shared" si="103"/>
      </c>
      <c r="BZ57" s="61"/>
      <c r="CA57" s="73">
        <f t="shared" si="43"/>
      </c>
      <c r="CB57" s="84"/>
      <c r="CC57" s="73">
        <f t="shared" si="44"/>
      </c>
      <c r="CD57" s="73">
        <f t="shared" si="85"/>
      </c>
      <c r="CE57" s="73">
        <f t="shared" si="86"/>
      </c>
      <c r="CF57" s="73">
        <f t="shared" si="87"/>
      </c>
      <c r="CG57" s="73">
        <f t="shared" si="48"/>
      </c>
      <c r="CH57" s="73">
        <f t="shared" si="49"/>
      </c>
      <c r="CI57" s="73">
        <f t="shared" si="50"/>
      </c>
      <c r="CJ57" s="76">
        <f t="shared" si="51"/>
      </c>
      <c r="CK57" s="76">
        <f t="shared" si="76"/>
      </c>
      <c r="CL57" s="76">
        <f t="shared" si="77"/>
      </c>
      <c r="CM57" s="76">
        <f t="shared" si="78"/>
      </c>
      <c r="CN57" s="40">
        <f t="shared" si="104"/>
      </c>
      <c r="CO57" s="40">
        <f t="shared" si="88"/>
      </c>
      <c r="CP57" s="40">
        <f t="shared" si="89"/>
      </c>
      <c r="CQ57" s="40">
        <f t="shared" si="90"/>
      </c>
      <c r="CR57" s="40">
        <f t="shared" si="91"/>
      </c>
      <c r="CS57" s="40">
        <f t="shared" si="81"/>
      </c>
      <c r="CT57" s="40">
        <f t="shared" si="55"/>
      </c>
      <c r="CU57" s="40">
        <f t="shared" si="93"/>
      </c>
      <c r="CV57" s="40">
        <f t="shared" si="94"/>
      </c>
      <c r="CW57" s="40">
        <f t="shared" si="95"/>
      </c>
      <c r="CX57" s="40">
        <f t="shared" si="82"/>
      </c>
      <c r="CY57" s="40">
        <f t="shared" si="83"/>
      </c>
      <c r="CZ57" s="40">
        <f t="shared" si="92"/>
      </c>
      <c r="DA57" s="40">
        <f t="shared" si="60"/>
      </c>
    </row>
    <row r="58" spans="1:105" ht="12.75">
      <c r="A58" s="61"/>
      <c r="B58" s="61"/>
      <c r="C58" s="61"/>
      <c r="D58" s="61"/>
      <c r="E58" s="61"/>
      <c r="F58" s="61"/>
      <c r="G58" s="61"/>
      <c r="H58" s="120"/>
      <c r="I58" s="61"/>
      <c r="J58" s="61"/>
      <c r="K58" s="61"/>
      <c r="L58" s="61"/>
      <c r="M58" s="61"/>
      <c r="N58" s="61"/>
      <c r="O58" s="61"/>
      <c r="P58" s="61"/>
      <c r="Q58" s="120"/>
      <c r="R58" s="120"/>
      <c r="S58" s="120"/>
      <c r="T58" s="120"/>
      <c r="U58" s="72">
        <f t="shared" si="84"/>
      </c>
      <c r="V58" s="72">
        <f t="shared" si="12"/>
      </c>
      <c r="W58" s="73">
        <f t="shared" si="13"/>
      </c>
      <c r="X58" s="72">
        <f t="shared" si="14"/>
      </c>
      <c r="Y58" s="72">
        <f t="shared" si="15"/>
      </c>
      <c r="Z58" s="72">
        <f t="shared" si="16"/>
      </c>
      <c r="AA58" s="72">
        <f t="shared" si="17"/>
      </c>
      <c r="AB58" s="72">
        <f t="shared" si="18"/>
      </c>
      <c r="AC58" s="72">
        <f t="shared" si="19"/>
      </c>
      <c r="AD58" s="74">
        <f t="shared" si="100"/>
      </c>
      <c r="AE58" s="73">
        <f t="shared" si="61"/>
      </c>
      <c r="AF58" s="40">
        <f t="shared" si="62"/>
      </c>
      <c r="AG58" s="40">
        <f t="shared" si="98"/>
      </c>
      <c r="AH58" s="40">
        <f t="shared" si="22"/>
      </c>
      <c r="AI58" s="270">
        <f t="shared" si="23"/>
      </c>
      <c r="AJ58" s="40">
        <f>IF($B58="","",I58*IF($G$14="Sí",IF(OR($D58="R",$D58="RST"),IF($D$2="Sí",IF($G58="Motor",$D$6*$W58/(BB58^2),$W58/$D$6)*($AV58*$F58+$AW58*SIN(ACOS($F58))),$W58*$F58))+SUMIF(INICIO,$B58,R_RE),0))</f>
      </c>
      <c r="AK58" s="40">
        <f>IF(B58="","",I58*IF($G$14="Sí",IF(OR($D58="R",$D58="RST"),IF($D$2="Sí",IF($G58="Motor",$D$6*$W58/(BB58^2),$W58/$D$6)*($AW58*$F58-$AV58*SIN(ACOS($F58))),-$W58*SIN(ACOS($F58))))+SUMIF(INICIO,$B58,R_IM),0))</f>
      </c>
      <c r="AL58" s="273">
        <f t="shared" si="24"/>
      </c>
      <c r="AM58" s="40">
        <f>IF(B58="","",I58*IF($H$14="Sí",IF(OR($D58="S",$D58="RST"),IF($D$2="Sí",IF($G58="Motor",$D$6*$W58/(BC58^2),$W58/$D$6)*($AX58*$F58+$AY58*SIN(ACOS($F58))),-$W58*$F58/2-SQRT(3)/2*$W58*SIN(ACOS($F58))))+SUMIF(INICIO,$B58,S_RE),0))</f>
      </c>
      <c r="AN58" s="40">
        <f>IF(B58="","",I58*IF($H$14="Sí",IF(OR($D58="S",$D58="RST"),IF($D$2="Sí",IF($G58="Motor",$D$6*$W58/(BC58^2),$W58/$D$6)*($AY58*$F58-$AX58*SIN(ACOS($F58))),-SQRT(3)/2*$W58*$F58+0.5*$W58*SIN(ACOS($F58))))+SUMIF(INICIO,$B58,S_IM),0))</f>
      </c>
      <c r="AO58" s="273">
        <f t="shared" si="25"/>
      </c>
      <c r="AP58" s="40">
        <f>IF(B58="","",I58*IF($I$14="Sí",IF(OR($D58="T",$D58="RST"),IF($D$2="Sí",IF($G58="Motor",$D$6*$W58/(BD58^2),$W58/$D$6)*($AZ58*$F58+$BA58*SIN(ACOS($F58))),-$W58*$F58/2+SQRT(3)/2*$W58*SIN(ACOS($F58))))+SUMIF(INICIO,$B58,T_RE),0))</f>
      </c>
      <c r="AQ58" s="272">
        <f>IF(B58="","",I58*IF($I$14="Sí",IF(OR($D58="T",$D58="RST"),IF($D$2="Sí",IF($G58="Motor",$D$6*$W58/(BD58^2),$W58/$D$6)*($BA58*$F58-$AZ58*SIN(ACOS($F58))),SQRT(3)/2*$W58*$F58+0.5*$W58*SIN(ACOS($F58))))+SUMIF(INICIO,$B58,T_IM),0))</f>
      </c>
      <c r="AR58" s="40">
        <f t="shared" si="26"/>
      </c>
      <c r="AS58" s="40">
        <f t="shared" si="27"/>
      </c>
      <c r="AT58" s="40">
        <f t="shared" si="28"/>
      </c>
      <c r="AU58" s="40">
        <f t="shared" si="29"/>
      </c>
      <c r="AV58" s="73">
        <f t="shared" si="63"/>
      </c>
      <c r="AW58" s="73">
        <f t="shared" si="64"/>
      </c>
      <c r="AX58" s="73">
        <f t="shared" si="65"/>
      </c>
      <c r="AY58" s="73">
        <f t="shared" si="66"/>
      </c>
      <c r="AZ58" s="73">
        <f t="shared" si="67"/>
      </c>
      <c r="BA58" s="73">
        <f t="shared" si="68"/>
      </c>
      <c r="BB58" s="73">
        <f t="shared" si="69"/>
      </c>
      <c r="BC58" s="73">
        <f t="shared" si="70"/>
      </c>
      <c r="BD58" s="73">
        <f t="shared" si="71"/>
      </c>
      <c r="BE58" s="73">
        <f t="shared" si="30"/>
      </c>
      <c r="BF58" s="73">
        <f t="shared" si="31"/>
      </c>
      <c r="BG58" s="73">
        <f t="shared" si="32"/>
      </c>
      <c r="BH58" s="73">
        <f t="shared" si="33"/>
      </c>
      <c r="BI58" s="73">
        <f t="shared" si="96"/>
      </c>
      <c r="BJ58" s="73">
        <f t="shared" si="97"/>
      </c>
      <c r="BK58" s="40">
        <f t="shared" si="72"/>
      </c>
      <c r="BL58" s="40">
        <f t="shared" si="73"/>
      </c>
      <c r="BM58" s="40">
        <f t="shared" si="74"/>
      </c>
      <c r="BN58" s="40">
        <f t="shared" si="34"/>
      </c>
      <c r="BO58" s="40">
        <f t="shared" si="101"/>
      </c>
      <c r="BP58" s="40">
        <f t="shared" si="105"/>
      </c>
      <c r="BQ58" s="40">
        <f t="shared" si="36"/>
      </c>
      <c r="BR58" s="40">
        <f t="shared" si="106"/>
      </c>
      <c r="BS58" s="40">
        <f t="shared" si="75"/>
      </c>
      <c r="BT58" s="40">
        <f t="shared" si="107"/>
      </c>
      <c r="BU58" s="40">
        <f t="shared" si="39"/>
      </c>
      <c r="BV58" s="75">
        <f t="shared" si="40"/>
      </c>
      <c r="BW58" s="75">
        <f t="shared" si="41"/>
      </c>
      <c r="BX58" s="40">
        <f t="shared" si="102"/>
      </c>
      <c r="BY58" s="40">
        <f t="shared" si="103"/>
      </c>
      <c r="BZ58" s="61"/>
      <c r="CA58" s="73">
        <f t="shared" si="43"/>
      </c>
      <c r="CB58" s="84"/>
      <c r="CC58" s="73">
        <f t="shared" si="44"/>
      </c>
      <c r="CD58" s="73">
        <f t="shared" si="85"/>
      </c>
      <c r="CE58" s="73">
        <f t="shared" si="86"/>
      </c>
      <c r="CF58" s="73">
        <f t="shared" si="87"/>
      </c>
      <c r="CG58" s="73">
        <f t="shared" si="48"/>
      </c>
      <c r="CH58" s="73">
        <f t="shared" si="49"/>
      </c>
      <c r="CI58" s="73">
        <f t="shared" si="50"/>
      </c>
      <c r="CJ58" s="76">
        <f t="shared" si="51"/>
      </c>
      <c r="CK58" s="76">
        <f t="shared" si="76"/>
      </c>
      <c r="CL58" s="76">
        <f t="shared" si="77"/>
      </c>
      <c r="CM58" s="76">
        <f t="shared" si="78"/>
      </c>
      <c r="CN58" s="40">
        <f t="shared" si="104"/>
      </c>
      <c r="CO58" s="40">
        <f t="shared" si="88"/>
      </c>
      <c r="CP58" s="40">
        <f t="shared" si="89"/>
      </c>
      <c r="CQ58" s="40">
        <f t="shared" si="90"/>
      </c>
      <c r="CR58" s="40">
        <f t="shared" si="91"/>
      </c>
      <c r="CS58" s="40">
        <f t="shared" si="81"/>
      </c>
      <c r="CT58" s="40">
        <f t="shared" si="55"/>
      </c>
      <c r="CU58" s="40">
        <f t="shared" si="93"/>
      </c>
      <c r="CV58" s="40">
        <f t="shared" si="94"/>
      </c>
      <c r="CW58" s="40">
        <f t="shared" si="95"/>
      </c>
      <c r="CX58" s="40">
        <f t="shared" si="82"/>
      </c>
      <c r="CY58" s="40">
        <f t="shared" si="83"/>
      </c>
      <c r="CZ58" s="40">
        <f t="shared" si="92"/>
      </c>
      <c r="DA58" s="40">
        <f t="shared" si="60"/>
      </c>
    </row>
    <row r="59" spans="1:105" ht="12.75">
      <c r="A59" s="61"/>
      <c r="B59" s="61"/>
      <c r="C59" s="61"/>
      <c r="D59" s="61"/>
      <c r="E59" s="61"/>
      <c r="F59" s="61"/>
      <c r="G59" s="61"/>
      <c r="H59" s="120"/>
      <c r="I59" s="61"/>
      <c r="J59" s="61"/>
      <c r="K59" s="61"/>
      <c r="L59" s="61"/>
      <c r="M59" s="61"/>
      <c r="N59" s="61"/>
      <c r="O59" s="61"/>
      <c r="P59" s="61"/>
      <c r="Q59" s="120"/>
      <c r="R59" s="120"/>
      <c r="S59" s="120"/>
      <c r="T59" s="120"/>
      <c r="U59" s="72">
        <f t="shared" si="84"/>
      </c>
      <c r="V59" s="72">
        <f t="shared" si="12"/>
      </c>
      <c r="W59" s="73">
        <f t="shared" si="13"/>
      </c>
      <c r="X59" s="72">
        <f t="shared" si="14"/>
      </c>
      <c r="Y59" s="72">
        <f t="shared" si="15"/>
      </c>
      <c r="Z59" s="72">
        <f t="shared" si="16"/>
      </c>
      <c r="AA59" s="72">
        <f t="shared" si="17"/>
      </c>
      <c r="AB59" s="72">
        <f t="shared" si="18"/>
      </c>
      <c r="AC59" s="72">
        <f t="shared" si="19"/>
      </c>
      <c r="AD59" s="74">
        <f t="shared" si="100"/>
      </c>
      <c r="AE59" s="73">
        <f t="shared" si="61"/>
      </c>
      <c r="AF59" s="40">
        <f t="shared" si="62"/>
      </c>
      <c r="AG59" s="40">
        <f t="shared" si="98"/>
      </c>
      <c r="AH59" s="40">
        <f t="shared" si="22"/>
      </c>
      <c r="AI59" s="270">
        <f t="shared" si="23"/>
      </c>
      <c r="AJ59" s="40">
        <f>IF($B59="","",I59*IF($G$14="Sí",IF(OR($D59="R",$D59="RST"),IF($D$2="Sí",IF($G59="Motor",$D$6*$W59/(BB59^2),$W59/$D$6)*($AV59*$F59+$AW59*SIN(ACOS($F59))),$W59*$F59))+SUMIF(INICIO,$B59,R_RE),0))</f>
      </c>
      <c r="AK59" s="40">
        <f>IF(B59="","",I59*IF($G$14="Sí",IF(OR($D59="R",$D59="RST"),IF($D$2="Sí",IF($G59="Motor",$D$6*$W59/(BB59^2),$W59/$D$6)*($AW59*$F59-$AV59*SIN(ACOS($F59))),-$W59*SIN(ACOS($F59))))+SUMIF(INICIO,$B59,R_IM),0))</f>
      </c>
      <c r="AL59" s="273">
        <f t="shared" si="24"/>
      </c>
      <c r="AM59" s="40">
        <f>IF(B59="","",I59*IF($H$14="Sí",IF(OR($D59="S",$D59="RST"),IF($D$2="Sí",IF($G59="Motor",$D$6*$W59/(BC59^2),$W59/$D$6)*($AX59*$F59+$AY59*SIN(ACOS($F59))),-$W59*$F59/2-SQRT(3)/2*$W59*SIN(ACOS($F59))))+SUMIF(INICIO,$B59,S_RE),0))</f>
      </c>
      <c r="AN59" s="40">
        <f>IF(B59="","",I59*IF($H$14="Sí",IF(OR($D59="S",$D59="RST"),IF($D$2="Sí",IF($G59="Motor",$D$6*$W59/(BC59^2),$W59/$D$6)*($AY59*$F59-$AX59*SIN(ACOS($F59))),-SQRT(3)/2*$W59*$F59+0.5*$W59*SIN(ACOS($F59))))+SUMIF(INICIO,$B59,S_IM),0))</f>
      </c>
      <c r="AO59" s="273">
        <f t="shared" si="25"/>
      </c>
      <c r="AP59" s="40">
        <f>IF(B59="","",I59*IF($I$14="Sí",IF(OR($D59="T",$D59="RST"),IF($D$2="Sí",IF($G59="Motor",$D$6*$W59/(BD59^2),$W59/$D$6)*($AZ59*$F59+$BA59*SIN(ACOS($F59))),-$W59*$F59/2+SQRT(3)/2*$W59*SIN(ACOS($F59))))+SUMIF(INICIO,$B59,T_RE),0))</f>
      </c>
      <c r="AQ59" s="272">
        <f>IF(B59="","",I59*IF($I$14="Sí",IF(OR($D59="T",$D59="RST"),IF($D$2="Sí",IF($G59="Motor",$D$6*$W59/(BD59^2),$W59/$D$6)*($BA59*$F59-$AZ59*SIN(ACOS($F59))),SQRT(3)/2*$W59*$F59+0.5*$W59*SIN(ACOS($F59))))+SUMIF(INICIO,$B59,T_IM),0))</f>
      </c>
      <c r="AR59" s="40">
        <f t="shared" si="26"/>
      </c>
      <c r="AS59" s="40">
        <f t="shared" si="27"/>
      </c>
      <c r="AT59" s="40">
        <f t="shared" si="28"/>
      </c>
      <c r="AU59" s="40">
        <f t="shared" si="29"/>
      </c>
      <c r="AV59" s="73">
        <f t="shared" si="63"/>
      </c>
      <c r="AW59" s="73">
        <f t="shared" si="64"/>
      </c>
      <c r="AX59" s="73">
        <f t="shared" si="65"/>
      </c>
      <c r="AY59" s="73">
        <f t="shared" si="66"/>
      </c>
      <c r="AZ59" s="73">
        <f t="shared" si="67"/>
      </c>
      <c r="BA59" s="73">
        <f t="shared" si="68"/>
      </c>
      <c r="BB59" s="73">
        <f t="shared" si="69"/>
      </c>
      <c r="BC59" s="73">
        <f t="shared" si="70"/>
      </c>
      <c r="BD59" s="73">
        <f t="shared" si="71"/>
      </c>
      <c r="BE59" s="73">
        <f t="shared" si="30"/>
      </c>
      <c r="BF59" s="73">
        <f t="shared" si="31"/>
      </c>
      <c r="BG59" s="73">
        <f t="shared" si="32"/>
      </c>
      <c r="BH59" s="73">
        <f t="shared" si="33"/>
      </c>
      <c r="BI59" s="73">
        <f t="shared" si="96"/>
      </c>
      <c r="BJ59" s="73">
        <f t="shared" si="97"/>
      </c>
      <c r="BK59" s="40">
        <f t="shared" si="72"/>
      </c>
      <c r="BL59" s="40">
        <f t="shared" si="73"/>
      </c>
      <c r="BM59" s="40">
        <f t="shared" si="74"/>
      </c>
      <c r="BN59" s="40">
        <f t="shared" si="34"/>
      </c>
      <c r="BO59" s="40">
        <f t="shared" si="101"/>
      </c>
      <c r="BP59" s="40">
        <f t="shared" si="105"/>
      </c>
      <c r="BQ59" s="40">
        <f t="shared" si="36"/>
      </c>
      <c r="BR59" s="40">
        <f t="shared" si="106"/>
      </c>
      <c r="BS59" s="40">
        <f t="shared" si="75"/>
      </c>
      <c r="BT59" s="40">
        <f t="shared" si="107"/>
      </c>
      <c r="BU59" s="40">
        <f t="shared" si="39"/>
      </c>
      <c r="BV59" s="75">
        <f t="shared" si="40"/>
      </c>
      <c r="BW59" s="75">
        <f t="shared" si="41"/>
      </c>
      <c r="BX59" s="40">
        <f t="shared" si="102"/>
      </c>
      <c r="BY59" s="40">
        <f t="shared" si="103"/>
      </c>
      <c r="BZ59" s="61"/>
      <c r="CA59" s="73">
        <f t="shared" si="43"/>
      </c>
      <c r="CB59" s="84"/>
      <c r="CC59" s="73">
        <f t="shared" si="44"/>
      </c>
      <c r="CD59" s="73">
        <f t="shared" si="85"/>
      </c>
      <c r="CE59" s="73">
        <f t="shared" si="86"/>
      </c>
      <c r="CF59" s="73">
        <f t="shared" si="87"/>
      </c>
      <c r="CG59" s="73">
        <f t="shared" si="48"/>
      </c>
      <c r="CH59" s="73">
        <f t="shared" si="49"/>
      </c>
      <c r="CI59" s="73">
        <f t="shared" si="50"/>
      </c>
      <c r="CJ59" s="76">
        <f t="shared" si="51"/>
      </c>
      <c r="CK59" s="76">
        <f t="shared" si="76"/>
      </c>
      <c r="CL59" s="76">
        <f t="shared" si="77"/>
      </c>
      <c r="CM59" s="76">
        <f t="shared" si="78"/>
      </c>
      <c r="CN59" s="40">
        <f t="shared" si="104"/>
      </c>
      <c r="CO59" s="40">
        <f t="shared" si="88"/>
      </c>
      <c r="CP59" s="40">
        <f t="shared" si="89"/>
      </c>
      <c r="CQ59" s="40">
        <f t="shared" si="90"/>
      </c>
      <c r="CR59" s="40">
        <f t="shared" si="91"/>
      </c>
      <c r="CS59" s="40">
        <f t="shared" si="81"/>
      </c>
      <c r="CT59" s="40">
        <f t="shared" si="55"/>
      </c>
      <c r="CU59" s="40">
        <f t="shared" si="93"/>
      </c>
      <c r="CV59" s="40">
        <f t="shared" si="94"/>
      </c>
      <c r="CW59" s="40">
        <f t="shared" si="95"/>
      </c>
      <c r="CX59" s="40">
        <f t="shared" si="82"/>
      </c>
      <c r="CY59" s="40">
        <f t="shared" si="83"/>
      </c>
      <c r="CZ59" s="40">
        <f t="shared" si="92"/>
      </c>
      <c r="DA59" s="40">
        <f t="shared" si="60"/>
      </c>
    </row>
    <row r="60" spans="1:105" ht="12.75">
      <c r="A60" s="61"/>
      <c r="B60" s="61"/>
      <c r="C60" s="61"/>
      <c r="D60" s="61"/>
      <c r="E60" s="61"/>
      <c r="F60" s="61"/>
      <c r="G60" s="61"/>
      <c r="H60" s="120"/>
      <c r="I60" s="61"/>
      <c r="J60" s="61"/>
      <c r="K60" s="61"/>
      <c r="L60" s="61"/>
      <c r="M60" s="61"/>
      <c r="N60" s="61"/>
      <c r="O60" s="61"/>
      <c r="P60" s="61"/>
      <c r="Q60" s="120"/>
      <c r="R60" s="120"/>
      <c r="S60" s="120"/>
      <c r="T60" s="120"/>
      <c r="U60" s="72">
        <f t="shared" si="84"/>
      </c>
      <c r="V60" s="72">
        <f t="shared" si="12"/>
      </c>
      <c r="W60" s="73">
        <f t="shared" si="13"/>
      </c>
      <c r="X60" s="72">
        <f t="shared" si="14"/>
      </c>
      <c r="Y60" s="72">
        <f t="shared" si="15"/>
      </c>
      <c r="Z60" s="72">
        <f t="shared" si="16"/>
      </c>
      <c r="AA60" s="72">
        <f t="shared" si="17"/>
      </c>
      <c r="AB60" s="72">
        <f t="shared" si="18"/>
      </c>
      <c r="AC60" s="72">
        <f t="shared" si="19"/>
      </c>
      <c r="AD60" s="74">
        <f t="shared" si="100"/>
      </c>
      <c r="AE60" s="73">
        <f t="shared" si="61"/>
      </c>
      <c r="AF60" s="40">
        <f t="shared" si="62"/>
      </c>
      <c r="AG60" s="40">
        <f t="shared" si="98"/>
      </c>
      <c r="AH60" s="40">
        <f t="shared" si="22"/>
      </c>
      <c r="AI60" s="270">
        <f t="shared" si="23"/>
      </c>
      <c r="AJ60" s="40">
        <f>IF($B60="","",I60*IF($G$14="Sí",IF(OR($D60="R",$D60="RST"),IF($D$2="Sí",IF($G60="Motor",$D$6*$W60/(BB60^2),$W60/$D$6)*($AV60*$F60+$AW60*SIN(ACOS($F60))),$W60*$F60))+SUMIF(INICIO,$B60,R_RE),0))</f>
      </c>
      <c r="AK60" s="40">
        <f>IF(B60="","",I60*IF($G$14="Sí",IF(OR($D60="R",$D60="RST"),IF($D$2="Sí",IF($G60="Motor",$D$6*$W60/(BB60^2),$W60/$D$6)*($AW60*$F60-$AV60*SIN(ACOS($F60))),-$W60*SIN(ACOS($F60))))+SUMIF(INICIO,$B60,R_IM),0))</f>
      </c>
      <c r="AL60" s="273">
        <f t="shared" si="24"/>
      </c>
      <c r="AM60" s="40">
        <f>IF(B60="","",I60*IF($H$14="Sí",IF(OR($D60="S",$D60="RST"),IF($D$2="Sí",IF($G60="Motor",$D$6*$W60/(BC60^2),$W60/$D$6)*($AX60*$F60+$AY60*SIN(ACOS($F60))),-$W60*$F60/2-SQRT(3)/2*$W60*SIN(ACOS($F60))))+SUMIF(INICIO,$B60,S_RE),0))</f>
      </c>
      <c r="AN60" s="40">
        <f>IF(B60="","",I60*IF($H$14="Sí",IF(OR($D60="S",$D60="RST"),IF($D$2="Sí",IF($G60="Motor",$D$6*$W60/(BC60^2),$W60/$D$6)*($AY60*$F60-$AX60*SIN(ACOS($F60))),-SQRT(3)/2*$W60*$F60+0.5*$W60*SIN(ACOS($F60))))+SUMIF(INICIO,$B60,S_IM),0))</f>
      </c>
      <c r="AO60" s="273">
        <f t="shared" si="25"/>
      </c>
      <c r="AP60" s="40">
        <f>IF(B60="","",I60*IF($I$14="Sí",IF(OR($D60="T",$D60="RST"),IF($D$2="Sí",IF($G60="Motor",$D$6*$W60/(BD60^2),$W60/$D$6)*($AZ60*$F60+$BA60*SIN(ACOS($F60))),-$W60*$F60/2+SQRT(3)/2*$W60*SIN(ACOS($F60))))+SUMIF(INICIO,$B60,T_RE),0))</f>
      </c>
      <c r="AQ60" s="272">
        <f>IF(B60="","",I60*IF($I$14="Sí",IF(OR($D60="T",$D60="RST"),IF($D$2="Sí",IF($G60="Motor",$D$6*$W60/(BD60^2),$W60/$D$6)*($BA60*$F60-$AZ60*SIN(ACOS($F60))),SQRT(3)/2*$W60*$F60+0.5*$W60*SIN(ACOS($F60))))+SUMIF(INICIO,$B60,T_IM),0))</f>
      </c>
      <c r="AR60" s="40">
        <f t="shared" si="26"/>
      </c>
      <c r="AS60" s="40">
        <f t="shared" si="27"/>
      </c>
      <c r="AT60" s="40">
        <f t="shared" si="28"/>
      </c>
      <c r="AU60" s="40">
        <f t="shared" si="29"/>
      </c>
      <c r="AV60" s="73">
        <f t="shared" si="63"/>
      </c>
      <c r="AW60" s="73">
        <f t="shared" si="64"/>
      </c>
      <c r="AX60" s="73">
        <f t="shared" si="65"/>
      </c>
      <c r="AY60" s="73">
        <f t="shared" si="66"/>
      </c>
      <c r="AZ60" s="73">
        <f t="shared" si="67"/>
      </c>
      <c r="BA60" s="73">
        <f t="shared" si="68"/>
      </c>
      <c r="BB60" s="73">
        <f t="shared" si="69"/>
      </c>
      <c r="BC60" s="73">
        <f t="shared" si="70"/>
      </c>
      <c r="BD60" s="73">
        <f t="shared" si="71"/>
      </c>
      <c r="BE60" s="73">
        <f t="shared" si="30"/>
      </c>
      <c r="BF60" s="73">
        <f t="shared" si="31"/>
      </c>
      <c r="BG60" s="73">
        <f t="shared" si="32"/>
      </c>
      <c r="BH60" s="73">
        <f t="shared" si="33"/>
      </c>
      <c r="BI60" s="73">
        <f t="shared" si="96"/>
      </c>
      <c r="BJ60" s="73">
        <f t="shared" si="97"/>
      </c>
      <c r="BK60" s="40">
        <f t="shared" si="72"/>
      </c>
      <c r="BL60" s="40">
        <f t="shared" si="73"/>
      </c>
      <c r="BM60" s="40">
        <f t="shared" si="74"/>
      </c>
      <c r="BN60" s="40">
        <f t="shared" si="34"/>
      </c>
      <c r="BO60" s="40">
        <f t="shared" si="101"/>
      </c>
      <c r="BP60" s="40">
        <f t="shared" si="105"/>
      </c>
      <c r="BQ60" s="40">
        <f t="shared" si="36"/>
      </c>
      <c r="BR60" s="40">
        <f t="shared" si="106"/>
      </c>
      <c r="BS60" s="40">
        <f t="shared" si="75"/>
      </c>
      <c r="BT60" s="40">
        <f t="shared" si="107"/>
      </c>
      <c r="BU60" s="40">
        <f t="shared" si="39"/>
      </c>
      <c r="BV60" s="75">
        <f t="shared" si="40"/>
      </c>
      <c r="BW60" s="75">
        <f t="shared" si="41"/>
      </c>
      <c r="BX60" s="40">
        <f t="shared" si="102"/>
      </c>
      <c r="BY60" s="40">
        <f t="shared" si="103"/>
      </c>
      <c r="BZ60" s="61"/>
      <c r="CA60" s="73">
        <f t="shared" si="43"/>
      </c>
      <c r="CB60" s="84"/>
      <c r="CC60" s="73">
        <f t="shared" si="44"/>
      </c>
      <c r="CD60" s="73">
        <f t="shared" si="85"/>
      </c>
      <c r="CE60" s="73">
        <f t="shared" si="86"/>
      </c>
      <c r="CF60" s="73">
        <f t="shared" si="87"/>
      </c>
      <c r="CG60" s="73">
        <f t="shared" si="48"/>
      </c>
      <c r="CH60" s="73">
        <f t="shared" si="49"/>
      </c>
      <c r="CI60" s="73">
        <f t="shared" si="50"/>
      </c>
      <c r="CJ60" s="76">
        <f t="shared" si="51"/>
      </c>
      <c r="CK60" s="76">
        <f t="shared" si="76"/>
      </c>
      <c r="CL60" s="76">
        <f t="shared" si="77"/>
      </c>
      <c r="CM60" s="76">
        <f t="shared" si="78"/>
      </c>
      <c r="CN60" s="40">
        <f t="shared" si="104"/>
      </c>
      <c r="CO60" s="40">
        <f t="shared" si="88"/>
      </c>
      <c r="CP60" s="40">
        <f t="shared" si="89"/>
      </c>
      <c r="CQ60" s="40">
        <f t="shared" si="90"/>
      </c>
      <c r="CR60" s="40">
        <f t="shared" si="91"/>
      </c>
      <c r="CS60" s="40">
        <f t="shared" si="81"/>
      </c>
      <c r="CT60" s="40">
        <f t="shared" si="55"/>
      </c>
      <c r="CU60" s="40">
        <f t="shared" si="93"/>
      </c>
      <c r="CV60" s="40">
        <f t="shared" si="94"/>
      </c>
      <c r="CW60" s="40">
        <f t="shared" si="95"/>
      </c>
      <c r="CX60" s="40">
        <f t="shared" si="82"/>
      </c>
      <c r="CY60" s="40">
        <f t="shared" si="83"/>
      </c>
      <c r="CZ60" s="40">
        <f t="shared" si="92"/>
      </c>
      <c r="DA60" s="40">
        <f t="shared" si="60"/>
      </c>
    </row>
    <row r="61" spans="1:105" ht="12.75">
      <c r="A61" s="61"/>
      <c r="B61" s="61"/>
      <c r="C61" s="61"/>
      <c r="D61" s="61"/>
      <c r="E61" s="61"/>
      <c r="F61" s="61"/>
      <c r="G61" s="61"/>
      <c r="H61" s="120"/>
      <c r="I61" s="61"/>
      <c r="J61" s="61"/>
      <c r="K61" s="61"/>
      <c r="L61" s="61"/>
      <c r="M61" s="61"/>
      <c r="N61" s="61"/>
      <c r="O61" s="61"/>
      <c r="P61" s="61"/>
      <c r="Q61" s="120"/>
      <c r="R61" s="120"/>
      <c r="S61" s="120"/>
      <c r="T61" s="120"/>
      <c r="U61" s="72">
        <f t="shared" si="84"/>
      </c>
      <c r="V61" s="72">
        <f t="shared" si="12"/>
      </c>
      <c r="W61" s="73">
        <f t="shared" si="13"/>
      </c>
      <c r="X61" s="72">
        <f t="shared" si="14"/>
      </c>
      <c r="Y61" s="72">
        <f t="shared" si="15"/>
      </c>
      <c r="Z61" s="72">
        <f t="shared" si="16"/>
      </c>
      <c r="AA61" s="72">
        <f t="shared" si="17"/>
      </c>
      <c r="AB61" s="72">
        <f t="shared" si="18"/>
      </c>
      <c r="AC61" s="72">
        <f t="shared" si="19"/>
      </c>
      <c r="AD61" s="74">
        <f t="shared" si="100"/>
      </c>
      <c r="AE61" s="73">
        <f t="shared" si="61"/>
      </c>
      <c r="AF61" s="40">
        <f t="shared" si="62"/>
      </c>
      <c r="AG61" s="40">
        <f t="shared" si="98"/>
      </c>
      <c r="AH61" s="40">
        <f t="shared" si="22"/>
      </c>
      <c r="AI61" s="270">
        <f t="shared" si="23"/>
      </c>
      <c r="AJ61" s="40">
        <f>IF($B61="","",I61*IF($G$14="Sí",IF(OR($D61="R",$D61="RST"),IF($D$2="Sí",IF($G61="Motor",$D$6*$W61/(BB61^2),$W61/$D$6)*($AV61*$F61+$AW61*SIN(ACOS($F61))),$W61*$F61))+SUMIF(INICIO,$B61,R_RE),0))</f>
      </c>
      <c r="AK61" s="40">
        <f>IF(B61="","",I61*IF($G$14="Sí",IF(OR($D61="R",$D61="RST"),IF($D$2="Sí",IF($G61="Motor",$D$6*$W61/(BB61^2),$W61/$D$6)*($AW61*$F61-$AV61*SIN(ACOS($F61))),-$W61*SIN(ACOS($F61))))+SUMIF(INICIO,$B61,R_IM),0))</f>
      </c>
      <c r="AL61" s="273">
        <f t="shared" si="24"/>
      </c>
      <c r="AM61" s="40">
        <f>IF(B61="","",I61*IF($H$14="Sí",IF(OR($D61="S",$D61="RST"),IF($D$2="Sí",IF($G61="Motor",$D$6*$W61/(BC61^2),$W61/$D$6)*($AX61*$F61+$AY61*SIN(ACOS($F61))),-$W61*$F61/2-SQRT(3)/2*$W61*SIN(ACOS($F61))))+SUMIF(INICIO,$B61,S_RE),0))</f>
      </c>
      <c r="AN61" s="40">
        <f>IF(B61="","",I61*IF($H$14="Sí",IF(OR($D61="S",$D61="RST"),IF($D$2="Sí",IF($G61="Motor",$D$6*$W61/(BC61^2),$W61/$D$6)*($AY61*$F61-$AX61*SIN(ACOS($F61))),-SQRT(3)/2*$W61*$F61+0.5*$W61*SIN(ACOS($F61))))+SUMIF(INICIO,$B61,S_IM),0))</f>
      </c>
      <c r="AO61" s="273">
        <f t="shared" si="25"/>
      </c>
      <c r="AP61" s="40">
        <f>IF(B61="","",I61*IF($I$14="Sí",IF(OR($D61="T",$D61="RST"),IF($D$2="Sí",IF($G61="Motor",$D$6*$W61/(BD61^2),$W61/$D$6)*($AZ61*$F61+$BA61*SIN(ACOS($F61))),-$W61*$F61/2+SQRT(3)/2*$W61*SIN(ACOS($F61))))+SUMIF(INICIO,$B61,T_RE),0))</f>
      </c>
      <c r="AQ61" s="272">
        <f>IF(B61="","",I61*IF($I$14="Sí",IF(OR($D61="T",$D61="RST"),IF($D$2="Sí",IF($G61="Motor",$D$6*$W61/(BD61^2),$W61/$D$6)*($BA61*$F61-$AZ61*SIN(ACOS($F61))),SQRT(3)/2*$W61*$F61+0.5*$W61*SIN(ACOS($F61))))+SUMIF(INICIO,$B61,T_IM),0))</f>
      </c>
      <c r="AR61" s="40">
        <f t="shared" si="26"/>
      </c>
      <c r="AS61" s="40">
        <f t="shared" si="27"/>
      </c>
      <c r="AT61" s="40">
        <f t="shared" si="28"/>
      </c>
      <c r="AU61" s="40">
        <f t="shared" si="29"/>
      </c>
      <c r="AV61" s="73">
        <f t="shared" si="63"/>
      </c>
      <c r="AW61" s="73">
        <f t="shared" si="64"/>
      </c>
      <c r="AX61" s="73">
        <f t="shared" si="65"/>
      </c>
      <c r="AY61" s="73">
        <f t="shared" si="66"/>
      </c>
      <c r="AZ61" s="73">
        <f t="shared" si="67"/>
      </c>
      <c r="BA61" s="73">
        <f t="shared" si="68"/>
      </c>
      <c r="BB61" s="73">
        <f t="shared" si="69"/>
      </c>
      <c r="BC61" s="73">
        <f t="shared" si="70"/>
      </c>
      <c r="BD61" s="73">
        <f t="shared" si="71"/>
      </c>
      <c r="BE61" s="73">
        <f t="shared" si="30"/>
      </c>
      <c r="BF61" s="73">
        <f t="shared" si="31"/>
      </c>
      <c r="BG61" s="73">
        <f t="shared" si="32"/>
      </c>
      <c r="BH61" s="73">
        <f t="shared" si="33"/>
      </c>
      <c r="BI61" s="73">
        <f t="shared" si="96"/>
      </c>
      <c r="BJ61" s="73">
        <f t="shared" si="97"/>
      </c>
      <c r="BK61" s="40">
        <f t="shared" si="72"/>
      </c>
      <c r="BL61" s="40">
        <f t="shared" si="73"/>
      </c>
      <c r="BM61" s="40">
        <f t="shared" si="74"/>
      </c>
      <c r="BN61" s="40">
        <f t="shared" si="34"/>
      </c>
      <c r="BO61" s="40">
        <f t="shared" si="101"/>
      </c>
      <c r="BP61" s="40">
        <f t="shared" si="105"/>
      </c>
      <c r="BQ61" s="40">
        <f t="shared" si="36"/>
      </c>
      <c r="BR61" s="40">
        <f t="shared" si="106"/>
      </c>
      <c r="BS61" s="40">
        <f t="shared" si="75"/>
      </c>
      <c r="BT61" s="40">
        <f t="shared" si="107"/>
      </c>
      <c r="BU61" s="40">
        <f t="shared" si="39"/>
      </c>
      <c r="BV61" s="75">
        <f t="shared" si="40"/>
      </c>
      <c r="BW61" s="75">
        <f t="shared" si="41"/>
      </c>
      <c r="BX61" s="40">
        <f t="shared" si="102"/>
      </c>
      <c r="BY61" s="40">
        <f t="shared" si="103"/>
      </c>
      <c r="BZ61" s="61"/>
      <c r="CA61" s="73">
        <f t="shared" si="43"/>
      </c>
      <c r="CB61" s="84"/>
      <c r="CC61" s="73">
        <f t="shared" si="44"/>
      </c>
      <c r="CD61" s="73">
        <f t="shared" si="85"/>
      </c>
      <c r="CE61" s="73">
        <f t="shared" si="86"/>
      </c>
      <c r="CF61" s="73">
        <f t="shared" si="87"/>
      </c>
      <c r="CG61" s="73">
        <f t="shared" si="48"/>
      </c>
      <c r="CH61" s="73">
        <f t="shared" si="49"/>
      </c>
      <c r="CI61" s="73">
        <f t="shared" si="50"/>
      </c>
      <c r="CJ61" s="76">
        <f t="shared" si="51"/>
      </c>
      <c r="CK61" s="76">
        <f t="shared" si="76"/>
      </c>
      <c r="CL61" s="76">
        <f t="shared" si="77"/>
      </c>
      <c r="CM61" s="76">
        <f t="shared" si="78"/>
      </c>
      <c r="CN61" s="40">
        <f t="shared" si="104"/>
      </c>
      <c r="CO61" s="40">
        <f t="shared" si="88"/>
      </c>
      <c r="CP61" s="40">
        <f t="shared" si="89"/>
      </c>
      <c r="CQ61" s="40">
        <f t="shared" si="90"/>
      </c>
      <c r="CR61" s="40">
        <f t="shared" si="91"/>
      </c>
      <c r="CS61" s="40">
        <f t="shared" si="81"/>
      </c>
      <c r="CT61" s="40">
        <f t="shared" si="55"/>
      </c>
      <c r="CU61" s="40">
        <f t="shared" si="93"/>
      </c>
      <c r="CV61" s="40">
        <f t="shared" si="94"/>
      </c>
      <c r="CW61" s="40">
        <f t="shared" si="95"/>
      </c>
      <c r="CX61" s="40">
        <f t="shared" si="82"/>
      </c>
      <c r="CY61" s="40">
        <f t="shared" si="83"/>
      </c>
      <c r="CZ61" s="40">
        <f t="shared" si="92"/>
      </c>
      <c r="DA61" s="40">
        <f t="shared" si="60"/>
      </c>
    </row>
    <row r="62" spans="1:105" ht="12.75">
      <c r="A62" s="61"/>
      <c r="B62" s="61"/>
      <c r="C62" s="61"/>
      <c r="D62" s="61"/>
      <c r="E62" s="61"/>
      <c r="F62" s="61"/>
      <c r="G62" s="61"/>
      <c r="H62" s="120"/>
      <c r="I62" s="61"/>
      <c r="J62" s="61"/>
      <c r="K62" s="61"/>
      <c r="L62" s="61"/>
      <c r="M62" s="61"/>
      <c r="N62" s="61"/>
      <c r="O62" s="61"/>
      <c r="P62" s="61"/>
      <c r="Q62" s="120"/>
      <c r="R62" s="120"/>
      <c r="S62" s="120"/>
      <c r="T62" s="120"/>
      <c r="U62" s="72">
        <f t="shared" si="84"/>
      </c>
      <c r="V62" s="72">
        <f t="shared" si="12"/>
      </c>
      <c r="W62" s="73">
        <f t="shared" si="13"/>
      </c>
      <c r="X62" s="72">
        <f t="shared" si="14"/>
      </c>
      <c r="Y62" s="72">
        <f t="shared" si="15"/>
      </c>
      <c r="Z62" s="72">
        <f t="shared" si="16"/>
      </c>
      <c r="AA62" s="72">
        <f t="shared" si="17"/>
      </c>
      <c r="AB62" s="72">
        <f t="shared" si="18"/>
      </c>
      <c r="AC62" s="72">
        <f t="shared" si="19"/>
      </c>
      <c r="AD62" s="74">
        <f t="shared" si="100"/>
      </c>
      <c r="AE62" s="73">
        <f t="shared" si="61"/>
      </c>
      <c r="AF62" s="40">
        <f t="shared" si="62"/>
      </c>
      <c r="AG62" s="40">
        <f t="shared" si="98"/>
      </c>
      <c r="AH62" s="40">
        <f t="shared" si="22"/>
      </c>
      <c r="AI62" s="270">
        <f t="shared" si="23"/>
      </c>
      <c r="AJ62" s="40">
        <f>IF($B62="","",I62*IF($G$14="Sí",IF(OR($D62="R",$D62="RST"),IF($D$2="Sí",IF($G62="Motor",$D$6*$W62/(BB62^2),$W62/$D$6)*($AV62*$F62+$AW62*SIN(ACOS($F62))),$W62*$F62))+SUMIF(INICIO,$B62,R_RE),0))</f>
      </c>
      <c r="AK62" s="40">
        <f>IF(B62="","",I62*IF($G$14="Sí",IF(OR($D62="R",$D62="RST"),IF($D$2="Sí",IF($G62="Motor",$D$6*$W62/(BB62^2),$W62/$D$6)*($AW62*$F62-$AV62*SIN(ACOS($F62))),-$W62*SIN(ACOS($F62))))+SUMIF(INICIO,$B62,R_IM),0))</f>
      </c>
      <c r="AL62" s="273">
        <f t="shared" si="24"/>
      </c>
      <c r="AM62" s="40">
        <f>IF(B62="","",I62*IF($H$14="Sí",IF(OR($D62="S",$D62="RST"),IF($D$2="Sí",IF($G62="Motor",$D$6*$W62/(BC62^2),$W62/$D$6)*($AX62*$F62+$AY62*SIN(ACOS($F62))),-$W62*$F62/2-SQRT(3)/2*$W62*SIN(ACOS($F62))))+SUMIF(INICIO,$B62,S_RE),0))</f>
      </c>
      <c r="AN62" s="40">
        <f>IF(B62="","",I62*IF($H$14="Sí",IF(OR($D62="S",$D62="RST"),IF($D$2="Sí",IF($G62="Motor",$D$6*$W62/(BC62^2),$W62/$D$6)*($AY62*$F62-$AX62*SIN(ACOS($F62))),-SQRT(3)/2*$W62*$F62+0.5*$W62*SIN(ACOS($F62))))+SUMIF(INICIO,$B62,S_IM),0))</f>
      </c>
      <c r="AO62" s="273">
        <f t="shared" si="25"/>
      </c>
      <c r="AP62" s="40">
        <f>IF(B62="","",I62*IF($I$14="Sí",IF(OR($D62="T",$D62="RST"),IF($D$2="Sí",IF($G62="Motor",$D$6*$W62/(BD62^2),$W62/$D$6)*($AZ62*$F62+$BA62*SIN(ACOS($F62))),-$W62*$F62/2+SQRT(3)/2*$W62*SIN(ACOS($F62))))+SUMIF(INICIO,$B62,T_RE),0))</f>
      </c>
      <c r="AQ62" s="272">
        <f>IF(B62="","",I62*IF($I$14="Sí",IF(OR($D62="T",$D62="RST"),IF($D$2="Sí",IF($G62="Motor",$D$6*$W62/(BD62^2),$W62/$D$6)*($BA62*$F62-$AZ62*SIN(ACOS($F62))),SQRT(3)/2*$W62*$F62+0.5*$W62*SIN(ACOS($F62))))+SUMIF(INICIO,$B62,T_IM),0))</f>
      </c>
      <c r="AR62" s="40">
        <f t="shared" si="26"/>
      </c>
      <c r="AS62" s="40">
        <f t="shared" si="27"/>
      </c>
      <c r="AT62" s="40">
        <f t="shared" si="28"/>
      </c>
      <c r="AU62" s="40">
        <f t="shared" si="29"/>
      </c>
      <c r="AV62" s="73">
        <f t="shared" si="63"/>
      </c>
      <c r="AW62" s="73">
        <f t="shared" si="64"/>
      </c>
      <c r="AX62" s="73">
        <f t="shared" si="65"/>
      </c>
      <c r="AY62" s="73">
        <f t="shared" si="66"/>
      </c>
      <c r="AZ62" s="73">
        <f t="shared" si="67"/>
      </c>
      <c r="BA62" s="73">
        <f t="shared" si="68"/>
      </c>
      <c r="BB62" s="73">
        <f t="shared" si="69"/>
      </c>
      <c r="BC62" s="73">
        <f t="shared" si="70"/>
      </c>
      <c r="BD62" s="73">
        <f t="shared" si="71"/>
      </c>
      <c r="BE62" s="73">
        <f t="shared" si="30"/>
      </c>
      <c r="BF62" s="73">
        <f t="shared" si="31"/>
      </c>
      <c r="BG62" s="73">
        <f t="shared" si="32"/>
      </c>
      <c r="BH62" s="73">
        <f t="shared" si="33"/>
      </c>
      <c r="BI62" s="73">
        <f t="shared" si="96"/>
      </c>
      <c r="BJ62" s="73">
        <f t="shared" si="97"/>
      </c>
      <c r="BK62" s="40">
        <f t="shared" si="72"/>
      </c>
      <c r="BL62" s="40">
        <f t="shared" si="73"/>
      </c>
      <c r="BM62" s="40">
        <f t="shared" si="74"/>
      </c>
      <c r="BN62" s="40">
        <f t="shared" si="34"/>
      </c>
      <c r="BO62" s="40">
        <f t="shared" si="101"/>
      </c>
      <c r="BP62" s="40">
        <f t="shared" si="105"/>
      </c>
      <c r="BQ62" s="40">
        <f t="shared" si="36"/>
      </c>
      <c r="BR62" s="40">
        <f t="shared" si="106"/>
      </c>
      <c r="BS62" s="40">
        <f t="shared" si="75"/>
      </c>
      <c r="BT62" s="40">
        <f t="shared" si="107"/>
      </c>
      <c r="BU62" s="40">
        <f t="shared" si="39"/>
      </c>
      <c r="BV62" s="75">
        <f t="shared" si="40"/>
      </c>
      <c r="BW62" s="75">
        <f t="shared" si="41"/>
      </c>
      <c r="BX62" s="40">
        <f t="shared" si="102"/>
      </c>
      <c r="BY62" s="40">
        <f t="shared" si="103"/>
      </c>
      <c r="BZ62" s="61"/>
      <c r="CA62" s="73">
        <f t="shared" si="43"/>
      </c>
      <c r="CB62" s="84"/>
      <c r="CC62" s="73">
        <f t="shared" si="44"/>
      </c>
      <c r="CD62" s="73">
        <f t="shared" si="85"/>
      </c>
      <c r="CE62" s="73">
        <f t="shared" si="86"/>
      </c>
      <c r="CF62" s="73">
        <f t="shared" si="87"/>
      </c>
      <c r="CG62" s="73">
        <f t="shared" si="48"/>
      </c>
      <c r="CH62" s="73">
        <f t="shared" si="49"/>
      </c>
      <c r="CI62" s="73">
        <f t="shared" si="50"/>
      </c>
      <c r="CJ62" s="76">
        <f t="shared" si="51"/>
      </c>
      <c r="CK62" s="76">
        <f t="shared" si="76"/>
      </c>
      <c r="CL62" s="76">
        <f t="shared" si="77"/>
      </c>
      <c r="CM62" s="76">
        <f t="shared" si="78"/>
      </c>
      <c r="CN62" s="40">
        <f t="shared" si="104"/>
      </c>
      <c r="CO62" s="40">
        <f t="shared" si="88"/>
      </c>
      <c r="CP62" s="40">
        <f t="shared" si="89"/>
      </c>
      <c r="CQ62" s="40">
        <f t="shared" si="90"/>
      </c>
      <c r="CR62" s="40">
        <f t="shared" si="91"/>
      </c>
      <c r="CS62" s="40">
        <f t="shared" si="81"/>
      </c>
      <c r="CT62" s="40">
        <f t="shared" si="55"/>
      </c>
      <c r="CU62" s="40">
        <f t="shared" si="93"/>
      </c>
      <c r="CV62" s="40">
        <f t="shared" si="94"/>
      </c>
      <c r="CW62" s="40">
        <f t="shared" si="95"/>
      </c>
      <c r="CX62" s="40">
        <f t="shared" si="82"/>
      </c>
      <c r="CY62" s="40">
        <f t="shared" si="83"/>
      </c>
      <c r="CZ62" s="40">
        <f t="shared" si="92"/>
      </c>
      <c r="DA62" s="40">
        <f t="shared" si="60"/>
      </c>
    </row>
    <row r="63" spans="1:105" ht="12.75">
      <c r="A63" s="61"/>
      <c r="B63" s="61"/>
      <c r="C63" s="61"/>
      <c r="D63" s="61"/>
      <c r="E63" s="61"/>
      <c r="F63" s="61"/>
      <c r="G63" s="61"/>
      <c r="H63" s="120"/>
      <c r="I63" s="61"/>
      <c r="J63" s="61"/>
      <c r="K63" s="61"/>
      <c r="L63" s="61"/>
      <c r="M63" s="61"/>
      <c r="N63" s="61"/>
      <c r="O63" s="61"/>
      <c r="P63" s="61"/>
      <c r="Q63" s="120"/>
      <c r="R63" s="120"/>
      <c r="S63" s="120"/>
      <c r="T63" s="120"/>
      <c r="U63" s="72">
        <f t="shared" si="84"/>
      </c>
      <c r="V63" s="72">
        <f t="shared" si="12"/>
      </c>
      <c r="W63" s="73">
        <f t="shared" si="13"/>
      </c>
      <c r="X63" s="72">
        <f t="shared" si="14"/>
      </c>
      <c r="Y63" s="72">
        <f t="shared" si="15"/>
      </c>
      <c r="Z63" s="72">
        <f t="shared" si="16"/>
      </c>
      <c r="AA63" s="72">
        <f t="shared" si="17"/>
      </c>
      <c r="AB63" s="72">
        <f t="shared" si="18"/>
      </c>
      <c r="AC63" s="72">
        <f t="shared" si="19"/>
      </c>
      <c r="AD63" s="74">
        <f t="shared" si="100"/>
      </c>
      <c r="AE63" s="73">
        <f t="shared" si="61"/>
      </c>
      <c r="AF63" s="40">
        <f t="shared" si="62"/>
      </c>
      <c r="AG63" s="40">
        <f t="shared" si="98"/>
      </c>
      <c r="AH63" s="40">
        <f t="shared" si="22"/>
      </c>
      <c r="AI63" s="270">
        <f t="shared" si="23"/>
      </c>
      <c r="AJ63" s="40">
        <f>IF($B63="","",I63*IF($G$14="Sí",IF(OR($D63="R",$D63="RST"),IF($D$2="Sí",IF($G63="Motor",$D$6*$W63/(BB63^2),$W63/$D$6)*($AV63*$F63+$AW63*SIN(ACOS($F63))),$W63*$F63))+SUMIF(INICIO,$B63,R_RE),0))</f>
      </c>
      <c r="AK63" s="40">
        <f>IF(B63="","",I63*IF($G$14="Sí",IF(OR($D63="R",$D63="RST"),IF($D$2="Sí",IF($G63="Motor",$D$6*$W63/(BB63^2),$W63/$D$6)*($AW63*$F63-$AV63*SIN(ACOS($F63))),-$W63*SIN(ACOS($F63))))+SUMIF(INICIO,$B63,R_IM),0))</f>
      </c>
      <c r="AL63" s="273">
        <f t="shared" si="24"/>
      </c>
      <c r="AM63" s="40">
        <f>IF(B63="","",I63*IF($H$14="Sí",IF(OR($D63="S",$D63="RST"),IF($D$2="Sí",IF($G63="Motor",$D$6*$W63/(BC63^2),$W63/$D$6)*($AX63*$F63+$AY63*SIN(ACOS($F63))),-$W63*$F63/2-SQRT(3)/2*$W63*SIN(ACOS($F63))))+SUMIF(INICIO,$B63,S_RE),0))</f>
      </c>
      <c r="AN63" s="40">
        <f>IF(B63="","",I63*IF($H$14="Sí",IF(OR($D63="S",$D63="RST"),IF($D$2="Sí",IF($G63="Motor",$D$6*$W63/(BC63^2),$W63/$D$6)*($AY63*$F63-$AX63*SIN(ACOS($F63))),-SQRT(3)/2*$W63*$F63+0.5*$W63*SIN(ACOS($F63))))+SUMIF(INICIO,$B63,S_IM),0))</f>
      </c>
      <c r="AO63" s="273">
        <f t="shared" si="25"/>
      </c>
      <c r="AP63" s="40">
        <f>IF(B63="","",I63*IF($I$14="Sí",IF(OR($D63="T",$D63="RST"),IF($D$2="Sí",IF($G63="Motor",$D$6*$W63/(BD63^2),$W63/$D$6)*($AZ63*$F63+$BA63*SIN(ACOS($F63))),-$W63*$F63/2+SQRT(3)/2*$W63*SIN(ACOS($F63))))+SUMIF(INICIO,$B63,T_RE),0))</f>
      </c>
      <c r="AQ63" s="272">
        <f>IF(B63="","",I63*IF($I$14="Sí",IF(OR($D63="T",$D63="RST"),IF($D$2="Sí",IF($G63="Motor",$D$6*$W63/(BD63^2),$W63/$D$6)*($BA63*$F63-$AZ63*SIN(ACOS($F63))),SQRT(3)/2*$W63*$F63+0.5*$W63*SIN(ACOS($F63))))+SUMIF(INICIO,$B63,T_IM),0))</f>
      </c>
      <c r="AR63" s="40">
        <f t="shared" si="26"/>
      </c>
      <c r="AS63" s="40">
        <f t="shared" si="27"/>
      </c>
      <c r="AT63" s="40">
        <f t="shared" si="28"/>
      </c>
      <c r="AU63" s="40">
        <f t="shared" si="29"/>
      </c>
      <c r="AV63" s="73">
        <f t="shared" si="63"/>
      </c>
      <c r="AW63" s="73">
        <f t="shared" si="64"/>
      </c>
      <c r="AX63" s="73">
        <f t="shared" si="65"/>
      </c>
      <c r="AY63" s="73">
        <f t="shared" si="66"/>
      </c>
      <c r="AZ63" s="73">
        <f t="shared" si="67"/>
      </c>
      <c r="BA63" s="73">
        <f t="shared" si="68"/>
      </c>
      <c r="BB63" s="73">
        <f t="shared" si="69"/>
      </c>
      <c r="BC63" s="73">
        <f t="shared" si="70"/>
      </c>
      <c r="BD63" s="73">
        <f t="shared" si="71"/>
      </c>
      <c r="BE63" s="73">
        <f t="shared" si="30"/>
      </c>
      <c r="BF63" s="73">
        <f t="shared" si="31"/>
      </c>
      <c r="BG63" s="73">
        <f t="shared" si="32"/>
      </c>
      <c r="BH63" s="73">
        <f t="shared" si="33"/>
      </c>
      <c r="BI63" s="73">
        <f t="shared" si="96"/>
      </c>
      <c r="BJ63" s="73">
        <f t="shared" si="97"/>
      </c>
      <c r="BK63" s="40">
        <f t="shared" si="72"/>
      </c>
      <c r="BL63" s="40">
        <f t="shared" si="73"/>
      </c>
      <c r="BM63" s="40">
        <f t="shared" si="74"/>
      </c>
      <c r="BN63" s="40">
        <f t="shared" si="34"/>
      </c>
      <c r="BO63" s="40">
        <f t="shared" si="101"/>
      </c>
      <c r="BP63" s="40">
        <f t="shared" si="105"/>
      </c>
      <c r="BQ63" s="40">
        <f t="shared" si="36"/>
      </c>
      <c r="BR63" s="40">
        <f t="shared" si="106"/>
      </c>
      <c r="BS63" s="40">
        <f t="shared" si="75"/>
      </c>
      <c r="BT63" s="40">
        <f t="shared" si="107"/>
      </c>
      <c r="BU63" s="40">
        <f t="shared" si="39"/>
      </c>
      <c r="BV63" s="75">
        <f t="shared" si="40"/>
      </c>
      <c r="BW63" s="75">
        <f t="shared" si="41"/>
      </c>
      <c r="BX63" s="40">
        <f t="shared" si="102"/>
      </c>
      <c r="BY63" s="40">
        <f t="shared" si="103"/>
      </c>
      <c r="BZ63" s="61"/>
      <c r="CA63" s="73">
        <f t="shared" si="43"/>
      </c>
      <c r="CB63" s="84"/>
      <c r="CC63" s="73">
        <f t="shared" si="44"/>
      </c>
      <c r="CD63" s="73">
        <f t="shared" si="85"/>
      </c>
      <c r="CE63" s="73">
        <f t="shared" si="86"/>
      </c>
      <c r="CF63" s="73">
        <f t="shared" si="87"/>
      </c>
      <c r="CG63" s="73">
        <f t="shared" si="48"/>
      </c>
      <c r="CH63" s="73">
        <f t="shared" si="49"/>
      </c>
      <c r="CI63" s="73">
        <f t="shared" si="50"/>
      </c>
      <c r="CJ63" s="76">
        <f t="shared" si="51"/>
      </c>
      <c r="CK63" s="76">
        <f t="shared" si="76"/>
      </c>
      <c r="CL63" s="76">
        <f t="shared" si="77"/>
      </c>
      <c r="CM63" s="76">
        <f t="shared" si="78"/>
      </c>
      <c r="CN63" s="40">
        <f t="shared" si="104"/>
      </c>
      <c r="CO63" s="40">
        <f t="shared" si="88"/>
      </c>
      <c r="CP63" s="40">
        <f t="shared" si="89"/>
      </c>
      <c r="CQ63" s="40">
        <f t="shared" si="90"/>
      </c>
      <c r="CR63" s="40">
        <f t="shared" si="91"/>
      </c>
      <c r="CS63" s="40">
        <f t="shared" si="81"/>
      </c>
      <c r="CT63" s="40">
        <f t="shared" si="55"/>
      </c>
      <c r="CU63" s="40">
        <f t="shared" si="93"/>
      </c>
      <c r="CV63" s="40">
        <f t="shared" si="94"/>
      </c>
      <c r="CW63" s="40">
        <f t="shared" si="95"/>
      </c>
      <c r="CX63" s="40">
        <f t="shared" si="82"/>
      </c>
      <c r="CY63" s="40">
        <f t="shared" si="83"/>
      </c>
      <c r="CZ63" s="40">
        <f t="shared" si="92"/>
      </c>
      <c r="DA63" s="40">
        <f t="shared" si="60"/>
      </c>
    </row>
    <row r="64" spans="1:105" ht="12.75">
      <c r="A64" s="61"/>
      <c r="B64" s="61"/>
      <c r="C64" s="61"/>
      <c r="D64" s="61"/>
      <c r="E64" s="61"/>
      <c r="F64" s="61"/>
      <c r="G64" s="61"/>
      <c r="H64" s="120"/>
      <c r="I64" s="61"/>
      <c r="J64" s="61"/>
      <c r="K64" s="61"/>
      <c r="L64" s="61"/>
      <c r="M64" s="61"/>
      <c r="N64" s="61"/>
      <c r="O64" s="61"/>
      <c r="P64" s="61"/>
      <c r="Q64" s="120"/>
      <c r="R64" s="120"/>
      <c r="S64" s="120"/>
      <c r="T64" s="120"/>
      <c r="U64" s="72">
        <f t="shared" si="84"/>
      </c>
      <c r="V64" s="72">
        <f t="shared" si="12"/>
      </c>
      <c r="W64" s="73">
        <f t="shared" si="13"/>
      </c>
      <c r="X64" s="72">
        <f t="shared" si="14"/>
      </c>
      <c r="Y64" s="72">
        <f t="shared" si="15"/>
      </c>
      <c r="Z64" s="72">
        <f t="shared" si="16"/>
      </c>
      <c r="AA64" s="72">
        <f t="shared" si="17"/>
      </c>
      <c r="AB64" s="72">
        <f t="shared" si="18"/>
      </c>
      <c r="AC64" s="72">
        <f t="shared" si="19"/>
      </c>
      <c r="AD64" s="74">
        <f t="shared" si="100"/>
      </c>
      <c r="AE64" s="73">
        <f t="shared" si="61"/>
      </c>
      <c r="AF64" s="40">
        <f t="shared" si="62"/>
      </c>
      <c r="AG64" s="40">
        <f t="shared" si="98"/>
      </c>
      <c r="AH64" s="40">
        <f t="shared" si="22"/>
      </c>
      <c r="AI64" s="270">
        <f t="shared" si="23"/>
      </c>
      <c r="AJ64" s="40">
        <f>IF($B64="","",I64*IF($G$14="Sí",IF(OR($D64="R",$D64="RST"),IF($D$2="Sí",IF($G64="Motor",$D$6*$W64/(BB64^2),$W64/$D$6)*($AV64*$F64+$AW64*SIN(ACOS($F64))),$W64*$F64))+SUMIF(INICIO,$B64,R_RE),0))</f>
      </c>
      <c r="AK64" s="40">
        <f>IF(B64="","",I64*IF($G$14="Sí",IF(OR($D64="R",$D64="RST"),IF($D$2="Sí",IF($G64="Motor",$D$6*$W64/(BB64^2),$W64/$D$6)*($AW64*$F64-$AV64*SIN(ACOS($F64))),-$W64*SIN(ACOS($F64))))+SUMIF(INICIO,$B64,R_IM),0))</f>
      </c>
      <c r="AL64" s="273">
        <f t="shared" si="24"/>
      </c>
      <c r="AM64" s="40">
        <f>IF(B64="","",I64*IF($H$14="Sí",IF(OR($D64="S",$D64="RST"),IF($D$2="Sí",IF($G64="Motor",$D$6*$W64/(BC64^2),$W64/$D$6)*($AX64*$F64+$AY64*SIN(ACOS($F64))),-$W64*$F64/2-SQRT(3)/2*$W64*SIN(ACOS($F64))))+SUMIF(INICIO,$B64,S_RE),0))</f>
      </c>
      <c r="AN64" s="40">
        <f>IF(B64="","",I64*IF($H$14="Sí",IF(OR($D64="S",$D64="RST"),IF($D$2="Sí",IF($G64="Motor",$D$6*$W64/(BC64^2),$W64/$D$6)*($AY64*$F64-$AX64*SIN(ACOS($F64))),-SQRT(3)/2*$W64*$F64+0.5*$W64*SIN(ACOS($F64))))+SUMIF(INICIO,$B64,S_IM),0))</f>
      </c>
      <c r="AO64" s="273">
        <f t="shared" si="25"/>
      </c>
      <c r="AP64" s="40">
        <f>IF(B64="","",I64*IF($I$14="Sí",IF(OR($D64="T",$D64="RST"),IF($D$2="Sí",IF($G64="Motor",$D$6*$W64/(BD64^2),$W64/$D$6)*($AZ64*$F64+$BA64*SIN(ACOS($F64))),-$W64*$F64/2+SQRT(3)/2*$W64*SIN(ACOS($F64))))+SUMIF(INICIO,$B64,T_RE),0))</f>
      </c>
      <c r="AQ64" s="272">
        <f>IF(B64="","",I64*IF($I$14="Sí",IF(OR($D64="T",$D64="RST"),IF($D$2="Sí",IF($G64="Motor",$D$6*$W64/(BD64^2),$W64/$D$6)*($BA64*$F64-$AZ64*SIN(ACOS($F64))),SQRT(3)/2*$W64*$F64+0.5*$W64*SIN(ACOS($F64))))+SUMIF(INICIO,$B64,T_IM),0))</f>
      </c>
      <c r="AR64" s="40">
        <f t="shared" si="26"/>
      </c>
      <c r="AS64" s="40">
        <f t="shared" si="27"/>
      </c>
      <c r="AT64" s="40">
        <f t="shared" si="28"/>
      </c>
      <c r="AU64" s="40">
        <f t="shared" si="29"/>
      </c>
      <c r="AV64" s="73">
        <f t="shared" si="63"/>
      </c>
      <c r="AW64" s="73">
        <f t="shared" si="64"/>
      </c>
      <c r="AX64" s="73">
        <f t="shared" si="65"/>
      </c>
      <c r="AY64" s="73">
        <f t="shared" si="66"/>
      </c>
      <c r="AZ64" s="73">
        <f t="shared" si="67"/>
      </c>
      <c r="BA64" s="73">
        <f t="shared" si="68"/>
      </c>
      <c r="BB64" s="73">
        <f t="shared" si="69"/>
      </c>
      <c r="BC64" s="73">
        <f t="shared" si="70"/>
      </c>
      <c r="BD64" s="73">
        <f t="shared" si="71"/>
      </c>
      <c r="BE64" s="73">
        <f t="shared" si="30"/>
      </c>
      <c r="BF64" s="73">
        <f t="shared" si="31"/>
      </c>
      <c r="BG64" s="73">
        <f t="shared" si="32"/>
      </c>
      <c r="BH64" s="73">
        <f t="shared" si="33"/>
      </c>
      <c r="BI64" s="73">
        <f t="shared" si="96"/>
      </c>
      <c r="BJ64" s="73">
        <f t="shared" si="97"/>
      </c>
      <c r="BK64" s="40">
        <f t="shared" si="72"/>
      </c>
      <c r="BL64" s="40">
        <f t="shared" si="73"/>
      </c>
      <c r="BM64" s="40">
        <f t="shared" si="74"/>
      </c>
      <c r="BN64" s="40">
        <f t="shared" si="34"/>
      </c>
      <c r="BO64" s="40">
        <f t="shared" si="101"/>
      </c>
      <c r="BP64" s="40">
        <f t="shared" si="105"/>
      </c>
      <c r="BQ64" s="40">
        <f t="shared" si="36"/>
      </c>
      <c r="BR64" s="40">
        <f t="shared" si="106"/>
      </c>
      <c r="BS64" s="40">
        <f t="shared" si="75"/>
      </c>
      <c r="BT64" s="40">
        <f t="shared" si="107"/>
      </c>
      <c r="BU64" s="40">
        <f t="shared" si="39"/>
      </c>
      <c r="BV64" s="75">
        <f t="shared" si="40"/>
      </c>
      <c r="BW64" s="75">
        <f t="shared" si="41"/>
      </c>
      <c r="BX64" s="40">
        <f t="shared" si="102"/>
      </c>
      <c r="BY64" s="40">
        <f t="shared" si="103"/>
      </c>
      <c r="BZ64" s="61"/>
      <c r="CA64" s="73">
        <f t="shared" si="43"/>
      </c>
      <c r="CB64" s="84"/>
      <c r="CC64" s="73">
        <f t="shared" si="44"/>
      </c>
      <c r="CD64" s="73">
        <f t="shared" si="85"/>
      </c>
      <c r="CE64" s="73">
        <f t="shared" si="86"/>
      </c>
      <c r="CF64" s="73">
        <f t="shared" si="87"/>
      </c>
      <c r="CG64" s="73">
        <f t="shared" si="48"/>
      </c>
      <c r="CH64" s="73">
        <f t="shared" si="49"/>
      </c>
      <c r="CI64" s="73">
        <f t="shared" si="50"/>
      </c>
      <c r="CJ64" s="76">
        <f t="shared" si="51"/>
      </c>
      <c r="CK64" s="76">
        <f t="shared" si="76"/>
      </c>
      <c r="CL64" s="76">
        <f t="shared" si="77"/>
      </c>
      <c r="CM64" s="76">
        <f t="shared" si="78"/>
      </c>
      <c r="CN64" s="40">
        <f t="shared" si="104"/>
      </c>
      <c r="CO64" s="40">
        <f t="shared" si="88"/>
      </c>
      <c r="CP64" s="40">
        <f t="shared" si="89"/>
      </c>
      <c r="CQ64" s="40">
        <f t="shared" si="90"/>
      </c>
      <c r="CR64" s="40">
        <f t="shared" si="91"/>
      </c>
      <c r="CS64" s="40">
        <f t="shared" si="81"/>
      </c>
      <c r="CT64" s="40">
        <f t="shared" si="55"/>
      </c>
      <c r="CU64" s="40">
        <f t="shared" si="93"/>
      </c>
      <c r="CV64" s="40">
        <f t="shared" si="94"/>
      </c>
      <c r="CW64" s="40">
        <f t="shared" si="95"/>
      </c>
      <c r="CX64" s="40">
        <f t="shared" si="82"/>
      </c>
      <c r="CY64" s="40">
        <f t="shared" si="83"/>
      </c>
      <c r="CZ64" s="40">
        <f t="shared" si="92"/>
      </c>
      <c r="DA64" s="40">
        <f t="shared" si="60"/>
      </c>
    </row>
    <row r="65" spans="1:105" ht="12.75">
      <c r="A65" s="61"/>
      <c r="B65" s="61"/>
      <c r="C65" s="61"/>
      <c r="D65" s="61"/>
      <c r="E65" s="61"/>
      <c r="F65" s="61"/>
      <c r="G65" s="61"/>
      <c r="H65" s="120"/>
      <c r="I65" s="61"/>
      <c r="J65" s="61"/>
      <c r="K65" s="61"/>
      <c r="L65" s="61"/>
      <c r="M65" s="61"/>
      <c r="N65" s="61"/>
      <c r="O65" s="61"/>
      <c r="P65" s="61"/>
      <c r="Q65" s="120"/>
      <c r="R65" s="120"/>
      <c r="S65" s="120"/>
      <c r="T65" s="120"/>
      <c r="U65" s="72">
        <f t="shared" si="84"/>
      </c>
      <c r="V65" s="72">
        <f t="shared" si="12"/>
      </c>
      <c r="W65" s="73">
        <f t="shared" si="13"/>
      </c>
      <c r="X65" s="72">
        <f t="shared" si="14"/>
      </c>
      <c r="Y65" s="72">
        <f t="shared" si="15"/>
      </c>
      <c r="Z65" s="72">
        <f t="shared" si="16"/>
      </c>
      <c r="AA65" s="72">
        <f t="shared" si="17"/>
      </c>
      <c r="AB65" s="72">
        <f t="shared" si="18"/>
      </c>
      <c r="AC65" s="72">
        <f t="shared" si="19"/>
      </c>
      <c r="AD65" s="74">
        <f t="shared" si="100"/>
      </c>
      <c r="AE65" s="73">
        <f t="shared" si="61"/>
      </c>
      <c r="AF65" s="40">
        <f t="shared" si="62"/>
      </c>
      <c r="AG65" s="40">
        <f t="shared" si="98"/>
      </c>
      <c r="AH65" s="40">
        <f t="shared" si="22"/>
      </c>
      <c r="AI65" s="270">
        <f t="shared" si="23"/>
      </c>
      <c r="AJ65" s="40">
        <f>IF($B65="","",I65*IF($G$14="Sí",IF(OR($D65="R",$D65="RST"),IF($D$2="Sí",IF($G65="Motor",$D$6*$W65/(BB65^2),$W65/$D$6)*($AV65*$F65+$AW65*SIN(ACOS($F65))),$W65*$F65))+SUMIF(INICIO,$B65,R_RE),0))</f>
      </c>
      <c r="AK65" s="40">
        <f>IF(B65="","",I65*IF($G$14="Sí",IF(OR($D65="R",$D65="RST"),IF($D$2="Sí",IF($G65="Motor",$D$6*$W65/(BB65^2),$W65/$D$6)*($AW65*$F65-$AV65*SIN(ACOS($F65))),-$W65*SIN(ACOS($F65))))+SUMIF(INICIO,$B65,R_IM),0))</f>
      </c>
      <c r="AL65" s="273">
        <f t="shared" si="24"/>
      </c>
      <c r="AM65" s="40">
        <f>IF(B65="","",I65*IF($H$14="Sí",IF(OR($D65="S",$D65="RST"),IF($D$2="Sí",IF($G65="Motor",$D$6*$W65/(BC65^2),$W65/$D$6)*($AX65*$F65+$AY65*SIN(ACOS($F65))),-$W65*$F65/2-SQRT(3)/2*$W65*SIN(ACOS($F65))))+SUMIF(INICIO,$B65,S_RE),0))</f>
      </c>
      <c r="AN65" s="40">
        <f>IF(B65="","",I65*IF($H$14="Sí",IF(OR($D65="S",$D65="RST"),IF($D$2="Sí",IF($G65="Motor",$D$6*$W65/(BC65^2),$W65/$D$6)*($AY65*$F65-$AX65*SIN(ACOS($F65))),-SQRT(3)/2*$W65*$F65+0.5*$W65*SIN(ACOS($F65))))+SUMIF(INICIO,$B65,S_IM),0))</f>
      </c>
      <c r="AO65" s="273">
        <f t="shared" si="25"/>
      </c>
      <c r="AP65" s="40">
        <f>IF(B65="","",I65*IF($I$14="Sí",IF(OR($D65="T",$D65="RST"),IF($D$2="Sí",IF($G65="Motor",$D$6*$W65/(BD65^2),$W65/$D$6)*($AZ65*$F65+$BA65*SIN(ACOS($F65))),-$W65*$F65/2+SQRT(3)/2*$W65*SIN(ACOS($F65))))+SUMIF(INICIO,$B65,T_RE),0))</f>
      </c>
      <c r="AQ65" s="272">
        <f>IF(B65="","",I65*IF($I$14="Sí",IF(OR($D65="T",$D65="RST"),IF($D$2="Sí",IF($G65="Motor",$D$6*$W65/(BD65^2),$W65/$D$6)*($BA65*$F65-$AZ65*SIN(ACOS($F65))),SQRT(3)/2*$W65*$F65+0.5*$W65*SIN(ACOS($F65))))+SUMIF(INICIO,$B65,T_IM),0))</f>
      </c>
      <c r="AR65" s="40">
        <f t="shared" si="26"/>
      </c>
      <c r="AS65" s="40">
        <f t="shared" si="27"/>
      </c>
      <c r="AT65" s="40">
        <f t="shared" si="28"/>
      </c>
      <c r="AU65" s="40">
        <f t="shared" si="29"/>
      </c>
      <c r="AV65" s="73">
        <f t="shared" si="63"/>
      </c>
      <c r="AW65" s="73">
        <f t="shared" si="64"/>
      </c>
      <c r="AX65" s="73">
        <f t="shared" si="65"/>
      </c>
      <c r="AY65" s="73">
        <f t="shared" si="66"/>
      </c>
      <c r="AZ65" s="73">
        <f t="shared" si="67"/>
      </c>
      <c r="BA65" s="73">
        <f t="shared" si="68"/>
      </c>
      <c r="BB65" s="73">
        <f t="shared" si="69"/>
      </c>
      <c r="BC65" s="73">
        <f t="shared" si="70"/>
      </c>
      <c r="BD65" s="73">
        <f t="shared" si="71"/>
      </c>
      <c r="BE65" s="73">
        <f t="shared" si="30"/>
      </c>
      <c r="BF65" s="73">
        <f t="shared" si="31"/>
      </c>
      <c r="BG65" s="73">
        <f t="shared" si="32"/>
      </c>
      <c r="BH65" s="73">
        <f t="shared" si="33"/>
      </c>
      <c r="BI65" s="73">
        <f t="shared" si="96"/>
      </c>
      <c r="BJ65" s="73">
        <f t="shared" si="97"/>
      </c>
      <c r="BK65" s="40">
        <f t="shared" si="72"/>
      </c>
      <c r="BL65" s="40">
        <f t="shared" si="73"/>
      </c>
      <c r="BM65" s="40">
        <f t="shared" si="74"/>
      </c>
      <c r="BN65" s="40">
        <f t="shared" si="34"/>
      </c>
      <c r="BO65" s="40">
        <f t="shared" si="101"/>
      </c>
      <c r="BP65" s="40">
        <f t="shared" si="105"/>
      </c>
      <c r="BQ65" s="40">
        <f t="shared" si="36"/>
      </c>
      <c r="BR65" s="40">
        <f t="shared" si="106"/>
      </c>
      <c r="BS65" s="40">
        <f t="shared" si="75"/>
      </c>
      <c r="BT65" s="40">
        <f t="shared" si="107"/>
      </c>
      <c r="BU65" s="40">
        <f t="shared" si="39"/>
      </c>
      <c r="BV65" s="75">
        <f t="shared" si="40"/>
      </c>
      <c r="BW65" s="75">
        <f t="shared" si="41"/>
      </c>
      <c r="BX65" s="40">
        <f t="shared" si="102"/>
      </c>
      <c r="BY65" s="40">
        <f t="shared" si="103"/>
      </c>
      <c r="BZ65" s="61"/>
      <c r="CA65" s="73">
        <f t="shared" si="43"/>
      </c>
      <c r="CB65" s="84"/>
      <c r="CC65" s="73">
        <f t="shared" si="44"/>
      </c>
      <c r="CD65" s="73">
        <f t="shared" si="85"/>
      </c>
      <c r="CE65" s="73">
        <f t="shared" si="86"/>
      </c>
      <c r="CF65" s="73">
        <f t="shared" si="87"/>
      </c>
      <c r="CG65" s="73">
        <f t="shared" si="48"/>
      </c>
      <c r="CH65" s="73">
        <f t="shared" si="49"/>
      </c>
      <c r="CI65" s="73">
        <f t="shared" si="50"/>
      </c>
      <c r="CJ65" s="76">
        <f t="shared" si="51"/>
      </c>
      <c r="CK65" s="76">
        <f t="shared" si="76"/>
      </c>
      <c r="CL65" s="76">
        <f t="shared" si="77"/>
      </c>
      <c r="CM65" s="76">
        <f t="shared" si="78"/>
      </c>
      <c r="CN65" s="40">
        <f t="shared" si="104"/>
      </c>
      <c r="CO65" s="40">
        <f t="shared" si="88"/>
      </c>
      <c r="CP65" s="40">
        <f t="shared" si="89"/>
      </c>
      <c r="CQ65" s="40">
        <f t="shared" si="90"/>
      </c>
      <c r="CR65" s="40">
        <f t="shared" si="91"/>
      </c>
      <c r="CS65" s="40">
        <f t="shared" si="81"/>
      </c>
      <c r="CT65" s="40">
        <f t="shared" si="55"/>
      </c>
      <c r="CU65" s="40">
        <f t="shared" si="93"/>
      </c>
      <c r="CV65" s="40">
        <f t="shared" si="94"/>
      </c>
      <c r="CW65" s="40">
        <f t="shared" si="95"/>
      </c>
      <c r="CX65" s="40">
        <f t="shared" si="82"/>
      </c>
      <c r="CY65" s="40">
        <f t="shared" si="83"/>
      </c>
      <c r="CZ65" s="40">
        <f t="shared" si="92"/>
      </c>
      <c r="DA65" s="40">
        <f t="shared" si="60"/>
      </c>
    </row>
    <row r="66" spans="1:105" ht="12.75">
      <c r="A66" s="61"/>
      <c r="B66" s="61"/>
      <c r="C66" s="61"/>
      <c r="D66" s="61"/>
      <c r="E66" s="61"/>
      <c r="F66" s="61"/>
      <c r="G66" s="61"/>
      <c r="H66" s="120"/>
      <c r="I66" s="61"/>
      <c r="J66" s="61"/>
      <c r="K66" s="61"/>
      <c r="L66" s="61"/>
      <c r="M66" s="61"/>
      <c r="N66" s="61"/>
      <c r="O66" s="61"/>
      <c r="P66" s="61"/>
      <c r="Q66" s="120"/>
      <c r="R66" s="120"/>
      <c r="S66" s="120"/>
      <c r="T66" s="120"/>
      <c r="U66" s="72">
        <f t="shared" si="84"/>
      </c>
      <c r="V66" s="72">
        <f t="shared" si="12"/>
      </c>
      <c r="W66" s="73">
        <f t="shared" si="13"/>
      </c>
      <c r="X66" s="72">
        <f t="shared" si="14"/>
      </c>
      <c r="Y66" s="72">
        <f t="shared" si="15"/>
      </c>
      <c r="Z66" s="72">
        <f t="shared" si="16"/>
      </c>
      <c r="AA66" s="72">
        <f t="shared" si="17"/>
      </c>
      <c r="AB66" s="72">
        <f t="shared" si="18"/>
      </c>
      <c r="AC66" s="72">
        <f t="shared" si="19"/>
      </c>
      <c r="AD66" s="74">
        <f t="shared" si="100"/>
      </c>
      <c r="AE66" s="73">
        <f t="shared" si="61"/>
      </c>
      <c r="AF66" s="40">
        <f t="shared" si="62"/>
      </c>
      <c r="AG66" s="40">
        <f t="shared" si="98"/>
      </c>
      <c r="AH66" s="40">
        <f t="shared" si="22"/>
      </c>
      <c r="AI66" s="270">
        <f t="shared" si="23"/>
      </c>
      <c r="AJ66" s="40">
        <f>IF($B66="","",I66*IF($G$14="Sí",IF(OR($D66="R",$D66="RST"),IF($D$2="Sí",IF($G66="Motor",$D$6*$W66/(BB66^2),$W66/$D$6)*($AV66*$F66+$AW66*SIN(ACOS($F66))),$W66*$F66))+SUMIF(INICIO,$B66,R_RE),0))</f>
      </c>
      <c r="AK66" s="40">
        <f>IF(B66="","",I66*IF($G$14="Sí",IF(OR($D66="R",$D66="RST"),IF($D$2="Sí",IF($G66="Motor",$D$6*$W66/(BB66^2),$W66/$D$6)*($AW66*$F66-$AV66*SIN(ACOS($F66))),-$W66*SIN(ACOS($F66))))+SUMIF(INICIO,$B66,R_IM),0))</f>
      </c>
      <c r="AL66" s="273">
        <f t="shared" si="24"/>
      </c>
      <c r="AM66" s="40">
        <f>IF(B66="","",I66*IF($H$14="Sí",IF(OR($D66="S",$D66="RST"),IF($D$2="Sí",IF($G66="Motor",$D$6*$W66/(BC66^2),$W66/$D$6)*($AX66*$F66+$AY66*SIN(ACOS($F66))),-$W66*$F66/2-SQRT(3)/2*$W66*SIN(ACOS($F66))))+SUMIF(INICIO,$B66,S_RE),0))</f>
      </c>
      <c r="AN66" s="40">
        <f>IF(B66="","",I66*IF($H$14="Sí",IF(OR($D66="S",$D66="RST"),IF($D$2="Sí",IF($G66="Motor",$D$6*$W66/(BC66^2),$W66/$D$6)*($AY66*$F66-$AX66*SIN(ACOS($F66))),-SQRT(3)/2*$W66*$F66+0.5*$W66*SIN(ACOS($F66))))+SUMIF(INICIO,$B66,S_IM),0))</f>
      </c>
      <c r="AO66" s="273">
        <f t="shared" si="25"/>
      </c>
      <c r="AP66" s="40">
        <f>IF(B66="","",I66*IF($I$14="Sí",IF(OR($D66="T",$D66="RST"),IF($D$2="Sí",IF($G66="Motor",$D$6*$W66/(BD66^2),$W66/$D$6)*($AZ66*$F66+$BA66*SIN(ACOS($F66))),-$W66*$F66/2+SQRT(3)/2*$W66*SIN(ACOS($F66))))+SUMIF(INICIO,$B66,T_RE),0))</f>
      </c>
      <c r="AQ66" s="272">
        <f>IF(B66="","",I66*IF($I$14="Sí",IF(OR($D66="T",$D66="RST"),IF($D$2="Sí",IF($G66="Motor",$D$6*$W66/(BD66^2),$W66/$D$6)*($BA66*$F66-$AZ66*SIN(ACOS($F66))),SQRT(3)/2*$W66*$F66+0.5*$W66*SIN(ACOS($F66))))+SUMIF(INICIO,$B66,T_IM),0))</f>
      </c>
      <c r="AR66" s="40">
        <f t="shared" si="26"/>
      </c>
      <c r="AS66" s="40">
        <f t="shared" si="27"/>
      </c>
      <c r="AT66" s="40">
        <f t="shared" si="28"/>
      </c>
      <c r="AU66" s="40">
        <f t="shared" si="29"/>
      </c>
      <c r="AV66" s="73">
        <f t="shared" si="63"/>
      </c>
      <c r="AW66" s="73">
        <f t="shared" si="64"/>
      </c>
      <c r="AX66" s="73">
        <f t="shared" si="65"/>
      </c>
      <c r="AY66" s="73">
        <f t="shared" si="66"/>
      </c>
      <c r="AZ66" s="73">
        <f t="shared" si="67"/>
      </c>
      <c r="BA66" s="73">
        <f t="shared" si="68"/>
      </c>
      <c r="BB66" s="73">
        <f t="shared" si="69"/>
      </c>
      <c r="BC66" s="73">
        <f t="shared" si="70"/>
      </c>
      <c r="BD66" s="73">
        <f t="shared" si="71"/>
      </c>
      <c r="BE66" s="73">
        <f t="shared" si="30"/>
      </c>
      <c r="BF66" s="73">
        <f t="shared" si="31"/>
      </c>
      <c r="BG66" s="73">
        <f t="shared" si="32"/>
      </c>
      <c r="BH66" s="73">
        <f t="shared" si="33"/>
      </c>
      <c r="BI66" s="73">
        <f t="shared" si="96"/>
      </c>
      <c r="BJ66" s="73">
        <f t="shared" si="97"/>
      </c>
      <c r="BK66" s="40">
        <f t="shared" si="72"/>
      </c>
      <c r="BL66" s="40">
        <f t="shared" si="73"/>
      </c>
      <c r="BM66" s="40">
        <f t="shared" si="74"/>
      </c>
      <c r="BN66" s="40">
        <f t="shared" si="34"/>
      </c>
      <c r="BO66" s="40">
        <f t="shared" si="101"/>
      </c>
      <c r="BP66" s="40">
        <f t="shared" si="105"/>
      </c>
      <c r="BQ66" s="40">
        <f t="shared" si="36"/>
      </c>
      <c r="BR66" s="40">
        <f t="shared" si="106"/>
      </c>
      <c r="BS66" s="40">
        <f t="shared" si="75"/>
      </c>
      <c r="BT66" s="40">
        <f t="shared" si="107"/>
      </c>
      <c r="BU66" s="40">
        <f t="shared" si="39"/>
      </c>
      <c r="BV66" s="75">
        <f t="shared" si="40"/>
      </c>
      <c r="BW66" s="75">
        <f t="shared" si="41"/>
      </c>
      <c r="BX66" s="40">
        <f t="shared" si="102"/>
      </c>
      <c r="BY66" s="40">
        <f t="shared" si="103"/>
      </c>
      <c r="BZ66" s="61"/>
      <c r="CA66" s="73">
        <f t="shared" si="43"/>
      </c>
      <c r="CB66" s="84"/>
      <c r="CC66" s="73">
        <f t="shared" si="44"/>
      </c>
      <c r="CD66" s="73">
        <f t="shared" si="85"/>
      </c>
      <c r="CE66" s="73">
        <f t="shared" si="86"/>
      </c>
      <c r="CF66" s="73">
        <f t="shared" si="87"/>
      </c>
      <c r="CG66" s="73">
        <f t="shared" si="48"/>
      </c>
      <c r="CH66" s="73">
        <f t="shared" si="49"/>
      </c>
      <c r="CI66" s="73">
        <f t="shared" si="50"/>
      </c>
      <c r="CJ66" s="76">
        <f t="shared" si="51"/>
      </c>
      <c r="CK66" s="76">
        <f t="shared" si="76"/>
      </c>
      <c r="CL66" s="76">
        <f t="shared" si="77"/>
      </c>
      <c r="CM66" s="76">
        <f t="shared" si="78"/>
      </c>
      <c r="CN66" s="40">
        <f t="shared" si="104"/>
      </c>
      <c r="CO66" s="40">
        <f t="shared" si="88"/>
      </c>
      <c r="CP66" s="40">
        <f t="shared" si="89"/>
      </c>
      <c r="CQ66" s="40">
        <f t="shared" si="90"/>
      </c>
      <c r="CR66" s="40">
        <f t="shared" si="91"/>
      </c>
      <c r="CS66" s="40">
        <f t="shared" si="81"/>
      </c>
      <c r="CT66" s="40">
        <f t="shared" si="55"/>
      </c>
      <c r="CU66" s="40">
        <f t="shared" si="93"/>
      </c>
      <c r="CV66" s="40">
        <f t="shared" si="94"/>
      </c>
      <c r="CW66" s="40">
        <f t="shared" si="95"/>
      </c>
      <c r="CX66" s="40">
        <f t="shared" si="82"/>
      </c>
      <c r="CY66" s="40">
        <f t="shared" si="83"/>
      </c>
      <c r="CZ66" s="40">
        <f t="shared" si="92"/>
      </c>
      <c r="DA66" s="40">
        <f t="shared" si="60"/>
      </c>
    </row>
    <row r="67" spans="1:105" ht="12.75">
      <c r="A67" s="61"/>
      <c r="B67" s="61"/>
      <c r="C67" s="61"/>
      <c r="D67" s="61"/>
      <c r="E67" s="61"/>
      <c r="F67" s="61"/>
      <c r="G67" s="61"/>
      <c r="H67" s="120"/>
      <c r="I67" s="61"/>
      <c r="J67" s="61"/>
      <c r="K67" s="61"/>
      <c r="L67" s="61"/>
      <c r="M67" s="61"/>
      <c r="N67" s="61"/>
      <c r="O67" s="61"/>
      <c r="P67" s="61"/>
      <c r="Q67" s="120"/>
      <c r="R67" s="120"/>
      <c r="S67" s="120"/>
      <c r="T67" s="120"/>
      <c r="U67" s="72">
        <f t="shared" si="84"/>
      </c>
      <c r="V67" s="72">
        <f t="shared" si="12"/>
      </c>
      <c r="W67" s="73">
        <f t="shared" si="13"/>
      </c>
      <c r="X67" s="72">
        <f t="shared" si="14"/>
      </c>
      <c r="Y67" s="72">
        <f t="shared" si="15"/>
      </c>
      <c r="Z67" s="72">
        <f t="shared" si="16"/>
      </c>
      <c r="AA67" s="72">
        <f t="shared" si="17"/>
      </c>
      <c r="AB67" s="72">
        <f t="shared" si="18"/>
      </c>
      <c r="AC67" s="72">
        <f t="shared" si="19"/>
      </c>
      <c r="AD67" s="74">
        <f>IF(L67="","",L67*IF(S67="",1,SQRT((SUMIF(Tipo_cable,J67,Tem_máx)-S67)/((SUMIF(Tipo_cable,J67,Tem_máx)-(SUMIF(Tipo_cable,J67,Tem_amb))))))*IF(T67="",1,T67))</f>
      </c>
      <c r="AE67" s="73">
        <f>IF(B67="","",MAX(AL67,MAX(AO67,AR67))-CC67+1.25*CC67)</f>
      </c>
      <c r="AF67" s="40">
        <f>IF(B67="","",$D$6-MIN(BB67:BD67))</f>
      </c>
      <c r="AG67" s="40">
        <f>IF(B67="","",100*AF67/$D$6)</f>
      </c>
      <c r="AH67" s="40">
        <f>IF(B67="","",$D$5-MIN(BE67:BG67))</f>
      </c>
      <c r="AI67" s="270">
        <f>IF(B67="","",100*AH67/$D$5)</f>
      </c>
      <c r="AJ67" s="40">
        <f>IF($B67="","",I67*IF($G$14="Sí",IF(OR($D67="R",$D67="RST"),IF($D$2="Sí",IF($G67="Motor",$D$6*$W67/(BB67^2),$W67/$D$6)*($AV67*$F67+$AW67*SIN(ACOS($F67))),$W67*$F67))+SUMIF(INICIO,$B67,R_RE),0))</f>
      </c>
      <c r="AK67" s="40">
        <f>IF(B67="","",I67*IF($G$14="Sí",IF(OR($D67="R",$D67="RST"),IF($D$2="Sí",IF($G67="Motor",$D$6*$W67/(BB67^2),$W67/$D$6)*($AW67*$F67-$AV67*SIN(ACOS($F67))),-$W67*SIN(ACOS($F67))))+SUMIF(INICIO,$B67,R_IM),0))</f>
      </c>
      <c r="AL67" s="273">
        <f>IF(B67="","",SQRT(AJ67^2+AK67^2))</f>
      </c>
      <c r="AM67" s="40">
        <f>IF(B67="","",I67*IF($H$14="Sí",IF(OR($D67="S",$D67="RST"),IF($D$2="Sí",IF($G67="Motor",$D$6*$W67/(BC67^2),$W67/$D$6)*($AX67*$F67+$AY67*SIN(ACOS($F67))),-$W67*$F67/2-SQRT(3)/2*$W67*SIN(ACOS($F67))))+SUMIF(INICIO,$B67,S_RE),0))</f>
      </c>
      <c r="AN67" s="40">
        <f>IF(B67="","",I67*IF($H$14="Sí",IF(OR($D67="S",$D67="RST"),IF($D$2="Sí",IF($G67="Motor",$D$6*$W67/(BC67^2),$W67/$D$6)*($AY67*$F67-$AX67*SIN(ACOS($F67))),-SQRT(3)/2*$W67*$F67+0.5*$W67*SIN(ACOS($F67))))+SUMIF(INICIO,$B67,S_IM),0))</f>
      </c>
      <c r="AO67" s="273">
        <f>IF(B67="","",SQRT(AM67^2+AN67^2))</f>
      </c>
      <c r="AP67" s="40">
        <f>IF(B67="","",I67*IF($I$14="Sí",IF(OR($D67="T",$D67="RST"),IF($D$2="Sí",IF($G67="Motor",$D$6*$W67/(BD67^2),$W67/$D$6)*($AZ67*$F67+$BA67*SIN(ACOS($F67))),-$W67*$F67/2+SQRT(3)/2*$W67*SIN(ACOS($F67))))+SUMIF(INICIO,$B67,T_RE),0))</f>
      </c>
      <c r="AQ67" s="272">
        <f>IF(B67="","",I67*IF($I$14="Sí",IF(OR($D67="T",$D67="RST"),IF($D$2="Sí",IF($G67="Motor",$D$6*$W67/(BD67^2),$W67/$D$6)*($BA67*$F67-$AZ67*SIN(ACOS($F67))),SQRT(3)/2*$W67*$F67+0.5*$W67*SIN(ACOS($F67))))+SUMIF(INICIO,$B67,T_IM),0))</f>
      </c>
      <c r="AR67" s="40">
        <f>IF(B67="","",SQRT(AP67^2+AQ67^2))</f>
      </c>
      <c r="AS67" s="40">
        <f>IF(B67="","",AJ67+AM67+AP67)</f>
      </c>
      <c r="AT67" s="40">
        <f>IF(B67="","",AK67+AN67+AQ67)</f>
      </c>
      <c r="AU67" s="40">
        <f>IF(B67="","",SQRT(AS67^2+AT67^2))</f>
      </c>
      <c r="AV67" s="73">
        <f>IF(B67="","",SUMIF(FINAL,$A67,ac_R_Re)-($X67*$AJ67-$AB67*$AK67)-($AA67*$AS67-$AC67*$AT67))</f>
      </c>
      <c r="AW67" s="73">
        <f>IF(B67="","",SUMIF(FINAL,$A67,ac_R_Im)-($X67*$AK67+$AB67*$AJ67)-($AA67*$AT67+$AC67*$AS67))</f>
      </c>
      <c r="AX67" s="73">
        <f>IF(B67="","",SUMIF(FINAL,$A67,ac_S_Re)-($Y67*$AM67-$AB67*$AN67)-($AA67*$AS67-$AC67*$AT67))</f>
      </c>
      <c r="AY67" s="73">
        <f>IF(B67="","",SUMIF(FINAL,$A67,ac_S_Im)-($Y67*$AN67+$AB67*$AM67)-($AA67*$AT67+$AC67*$AS67))</f>
      </c>
      <c r="AZ67" s="73">
        <f>IF(B67="","",SUMIF(FINAL,$A67,ac_T_Re)-($Z67*$AP67-$AB67*$AQ67)-($AA67*$AS67-$AC67*$AT67))</f>
      </c>
      <c r="BA67" s="73">
        <f>IF(B67="","",SUMIF(FINAL,$A67,ac_T_Im)-($Z67*$AQ67+$AB67*$AP67)-($AA67*$AT67+$AC67*$AS67))</f>
      </c>
      <c r="BB67" s="73">
        <f>IF(B67="","",SQRT(AV67^2+AW67^2))</f>
      </c>
      <c r="BC67" s="73">
        <f>IF(B67="","",SQRT(AX67^2+AY67^2))</f>
      </c>
      <c r="BD67" s="73">
        <f>IF(B67="","",SQRT(AZ67^2+BA67^2))</f>
      </c>
      <c r="BE67" s="73">
        <f>IF(B67="","",SQRT((AV67-AX67)^2+(AW67-AY67)^2))</f>
      </c>
      <c r="BF67" s="73">
        <f>IF(B67="","",SQRT((AX67-AZ67)^2+(AY67-BA67)^2))</f>
      </c>
      <c r="BG67" s="73">
        <f>IF(B67="","",SQRT((AZ67-AV67)^2+(BA67-AW67)^2))</f>
      </c>
      <c r="BH67" s="73">
        <f t="shared" si="33"/>
      </c>
      <c r="BI67" s="73">
        <f t="shared" si="96"/>
      </c>
      <c r="BJ67" s="73">
        <f t="shared" si="97"/>
      </c>
      <c r="BK67" s="40">
        <f>IF(B67="","",I67*(W67+SUMIF(INICIO,$B67,I_tramo)))</f>
      </c>
      <c r="BL67" s="40">
        <f>IF(B67="","",BK67-CC67+1.25*CC67)</f>
      </c>
      <c r="BM67" s="40">
        <f>IF(B67="","",SUMIF(FINAL,$A67,U_FINAL)-SQRT(3)*U67*CN67)</f>
      </c>
      <c r="BN67" s="40">
        <f>IF(B67="","",100*($D$5-BM67)/$D$5)</f>
      </c>
      <c r="BO67" s="40">
        <f>IF(B67="","",MAX(CR67:CT67)-CC67+1.25*CC67)</f>
      </c>
      <c r="BP67" s="40">
        <f>IF(B67="","",SUMIF(FINAL,$A67,U_FINAL_R)-SQRT(3)*U67*CX67)</f>
      </c>
      <c r="BQ67" s="40">
        <f>IF(B67="","",100*($D$5-BP67)/$D$5)</f>
      </c>
      <c r="BR67" s="40">
        <f>IF(B67="","",SUMIF(FINAL,$A67,U_FINAL_S)-SQRT(3)*U67*CY67)</f>
      </c>
      <c r="BS67" s="40">
        <f>IF(B67="","",100*($D$5-BR67)/$D$5)</f>
      </c>
      <c r="BT67" s="40">
        <f>IF(B67="","",SUMIF(FINAL,$A67,U_FINAL_T)-SQRT(3)*U67*CZ67)</f>
      </c>
      <c r="BU67" s="40">
        <f>IF(B67="","",100*($D$5-BT67)/$D$5)</f>
      </c>
      <c r="BV67" s="75">
        <f>IF(B67="","",U67+SUMIF(FINAL,$A67,R_FINAL))</f>
      </c>
      <c r="BW67" s="75">
        <f>IF(B67="","",AB67+SUMIF(FINAL,$A67,X_FINAL))</f>
      </c>
      <c r="BX67" s="40">
        <f>IF(B67="","",$D$6/SQRT((BV67-U67)^2+(BW67-AB67+$S$12)^2)/1000)</f>
      </c>
      <c r="BY67" s="40">
        <f>IF(B67="","",SUMIF(Tipo_cable,J67,Constante_k)*K67/SQRT(IF(BZ67="",0.7,BZ67))/1000)</f>
      </c>
      <c r="BZ67" s="61"/>
      <c r="CA67" s="73">
        <f t="shared" si="43"/>
      </c>
      <c r="CB67" s="84"/>
      <c r="CC67" s="73">
        <f t="shared" si="44"/>
      </c>
      <c r="CD67" s="73">
        <f t="shared" si="85"/>
      </c>
      <c r="CE67" s="73">
        <f t="shared" si="86"/>
      </c>
      <c r="CF67" s="73">
        <f t="shared" si="87"/>
      </c>
      <c r="CG67" s="73">
        <f t="shared" si="48"/>
      </c>
      <c r="CH67" s="73">
        <f t="shared" si="49"/>
      </c>
      <c r="CI67" s="73">
        <f t="shared" si="50"/>
      </c>
      <c r="CJ67" s="76">
        <f>IF(B67="","",C67*IF(P67="Unipolar/Cu",3,0))</f>
      </c>
      <c r="CK67" s="76">
        <f>IF(B67="","",C67*IF(P67="Unipolar/Al",3,0))</f>
      </c>
      <c r="CL67" s="76">
        <f>IF(B67="","",C67*IF(P67="Tripolar/Cu",1,0))</f>
      </c>
      <c r="CM67" s="76">
        <f>IF(B67="","",C67*IF(P67="Tripolar/Al",1,0))</f>
      </c>
      <c r="CN67" s="40">
        <f>IF(B67="","",I67*(W67*F67+SUMIF(INICIO,$B67,I_cosfi)))</f>
      </c>
      <c r="CO67" s="40">
        <f t="shared" si="88"/>
      </c>
      <c r="CP67" s="40">
        <f t="shared" si="89"/>
      </c>
      <c r="CQ67" s="40">
        <f t="shared" si="90"/>
      </c>
      <c r="CR67" s="40">
        <f t="shared" si="91"/>
      </c>
      <c r="CS67" s="40">
        <f>IF($B67="","",I67*IF($H$14="Sí",IF(OR($D67="S",$D67="RST"),$W67)+SUMIF(INICIO,$B67,I_tramoS),0))</f>
      </c>
      <c r="CT67" s="40">
        <f>IF($B67="","",I67*IF($I$14="Sí",IF(OR($D67="T",$D67="RST"),$W67)+SUMIF(INICIO,$B67,I_tramoT),0))</f>
      </c>
      <c r="CU67" s="40">
        <f t="shared" si="93"/>
      </c>
      <c r="CV67" s="40">
        <f t="shared" si="94"/>
      </c>
      <c r="CW67" s="40">
        <f t="shared" si="95"/>
      </c>
      <c r="CX67" s="40">
        <f>IF($B67="","",I67*IF($G$14="Sí",IF(OR($D67="R",$D67="RST"),$W67*F67)+SUMIF(INICIO,$B67,IR_cosfi),0))</f>
      </c>
      <c r="CY67" s="40">
        <f>IF($B67="","",I67*IF($H$14="Sí",IF(OR($D67="S",$D67="RST"),$W67*F67)+SUMIF(INICIO,$B67,IS_cosfi),0))</f>
      </c>
      <c r="CZ67" s="40">
        <f>IF($B67="","",I67*IF($I$14="Sí",IF(OR($D67="T",$D67="RST"),$W67*F67)+SUMIF(INICIO,$B67,IT_cosfi),0))</f>
      </c>
      <c r="DA67" s="40">
        <f>IF($X67="","",X67*AL67^2+Y67*AO67^2+Z67*AR67^2)</f>
      </c>
    </row>
    <row r="68" spans="1:105" ht="12.75">
      <c r="A68" s="61"/>
      <c r="B68" s="61"/>
      <c r="C68" s="61"/>
      <c r="D68" s="61"/>
      <c r="E68" s="61"/>
      <c r="F68" s="61"/>
      <c r="G68" s="61"/>
      <c r="H68" s="120"/>
      <c r="I68" s="61"/>
      <c r="J68" s="61"/>
      <c r="K68" s="61"/>
      <c r="L68" s="61"/>
      <c r="M68" s="61"/>
      <c r="N68" s="61"/>
      <c r="O68" s="61"/>
      <c r="P68" s="61"/>
      <c r="Q68" s="120"/>
      <c r="R68" s="120"/>
      <c r="S68" s="120"/>
      <c r="T68" s="120"/>
      <c r="U68" s="72">
        <f t="shared" si="84"/>
      </c>
      <c r="V68" s="72">
        <f t="shared" si="12"/>
      </c>
      <c r="W68" s="73">
        <f t="shared" si="13"/>
      </c>
      <c r="X68" s="72">
        <f t="shared" si="14"/>
      </c>
      <c r="Y68" s="72">
        <f t="shared" si="15"/>
      </c>
      <c r="Z68" s="72">
        <f t="shared" si="16"/>
      </c>
      <c r="AA68" s="72">
        <f t="shared" si="17"/>
      </c>
      <c r="AB68" s="72">
        <f t="shared" si="18"/>
      </c>
      <c r="AC68" s="72">
        <f t="shared" si="19"/>
      </c>
      <c r="AD68" s="74">
        <f t="shared" si="100"/>
      </c>
      <c r="AE68" s="73">
        <f t="shared" si="61"/>
      </c>
      <c r="AF68" s="40">
        <f t="shared" si="62"/>
      </c>
      <c r="AG68" s="40">
        <f t="shared" si="98"/>
      </c>
      <c r="AH68" s="40">
        <f t="shared" si="22"/>
      </c>
      <c r="AI68" s="270">
        <f t="shared" si="23"/>
      </c>
      <c r="AJ68" s="40">
        <f>IF($B68="","",I68*IF($G$14="Sí",IF(OR($D68="R",$D68="RST"),IF($D$2="Sí",IF($G68="Motor",$D$6*$W68/(BB68^2),$W68/$D$6)*($AV68*$F68+$AW68*SIN(ACOS($F68))),$W68*$F68))+SUMIF(INICIO,$B68,R_RE),0))</f>
      </c>
      <c r="AK68" s="40">
        <f>IF(B68="","",I68*IF($G$14="Sí",IF(OR($D68="R",$D68="RST"),IF($D$2="Sí",IF($G68="Motor",$D$6*$W68/(BB68^2),$W68/$D$6)*($AW68*$F68-$AV68*SIN(ACOS($F68))),-$W68*SIN(ACOS($F68))))+SUMIF(INICIO,$B68,R_IM),0))</f>
      </c>
      <c r="AL68" s="273">
        <f t="shared" si="24"/>
      </c>
      <c r="AM68" s="40">
        <f>IF(B68="","",I68*IF($H$14="Sí",IF(OR($D68="S",$D68="RST"),IF($D$2="Sí",IF($G68="Motor",$D$6*$W68/(BC68^2),$W68/$D$6)*($AX68*$F68+$AY68*SIN(ACOS($F68))),-$W68*$F68/2-SQRT(3)/2*$W68*SIN(ACOS($F68))))+SUMIF(INICIO,$B68,S_RE),0))</f>
      </c>
      <c r="AN68" s="40">
        <f>IF(B68="","",I68*IF($H$14="Sí",IF(OR($D68="S",$D68="RST"),IF($D$2="Sí",IF($G68="Motor",$D$6*$W68/(BC68^2),$W68/$D$6)*($AY68*$F68-$AX68*SIN(ACOS($F68))),-SQRT(3)/2*$W68*$F68+0.5*$W68*SIN(ACOS($F68))))+SUMIF(INICIO,$B68,S_IM),0))</f>
      </c>
      <c r="AO68" s="273">
        <f t="shared" si="25"/>
      </c>
      <c r="AP68" s="40">
        <f>IF(B68="","",I68*IF($I$14="Sí",IF(OR($D68="T",$D68="RST"),IF($D$2="Sí",IF($G68="Motor",$D$6*$W68/(BD68^2),$W68/$D$6)*($AZ68*$F68+$BA68*SIN(ACOS($F68))),-$W68*$F68/2+SQRT(3)/2*$W68*SIN(ACOS($F68))))+SUMIF(INICIO,$B68,T_RE),0))</f>
      </c>
      <c r="AQ68" s="272">
        <f>IF(B68="","",I68*IF($I$14="Sí",IF(OR($D68="T",$D68="RST"),IF($D$2="Sí",IF($G68="Motor",$D$6*$W68/(BD68^2),$W68/$D$6)*($BA68*$F68-$AZ68*SIN(ACOS($F68))),SQRT(3)/2*$W68*$F68+0.5*$W68*SIN(ACOS($F68))))+SUMIF(INICIO,$B68,T_IM),0))</f>
      </c>
      <c r="AR68" s="40">
        <f t="shared" si="26"/>
      </c>
      <c r="AS68" s="40">
        <f t="shared" si="27"/>
      </c>
      <c r="AT68" s="40">
        <f t="shared" si="28"/>
      </c>
      <c r="AU68" s="40">
        <f t="shared" si="29"/>
      </c>
      <c r="AV68" s="73">
        <f t="shared" si="63"/>
      </c>
      <c r="AW68" s="73">
        <f t="shared" si="64"/>
      </c>
      <c r="AX68" s="73">
        <f t="shared" si="65"/>
      </c>
      <c r="AY68" s="73">
        <f t="shared" si="66"/>
      </c>
      <c r="AZ68" s="73">
        <f t="shared" si="67"/>
      </c>
      <c r="BA68" s="73">
        <f t="shared" si="68"/>
      </c>
      <c r="BB68" s="73">
        <f t="shared" si="69"/>
      </c>
      <c r="BC68" s="73">
        <f t="shared" si="70"/>
      </c>
      <c r="BD68" s="73">
        <f t="shared" si="71"/>
      </c>
      <c r="BE68" s="73">
        <f t="shared" si="30"/>
      </c>
      <c r="BF68" s="73">
        <f t="shared" si="31"/>
      </c>
      <c r="BG68" s="73">
        <f t="shared" si="32"/>
      </c>
      <c r="BH68" s="73">
        <f t="shared" si="33"/>
      </c>
      <c r="BI68" s="73">
        <f t="shared" si="96"/>
      </c>
      <c r="BJ68" s="73">
        <f t="shared" si="97"/>
      </c>
      <c r="BK68" s="40">
        <f t="shared" si="72"/>
      </c>
      <c r="BL68" s="40">
        <f t="shared" si="73"/>
      </c>
      <c r="BM68" s="40">
        <f t="shared" si="74"/>
      </c>
      <c r="BN68" s="40">
        <f t="shared" si="34"/>
      </c>
      <c r="BO68" s="40">
        <f t="shared" si="101"/>
      </c>
      <c r="BP68" s="40">
        <f t="shared" si="105"/>
      </c>
      <c r="BQ68" s="40">
        <f t="shared" si="36"/>
      </c>
      <c r="BR68" s="40">
        <f t="shared" si="106"/>
      </c>
      <c r="BS68" s="40">
        <f t="shared" si="75"/>
      </c>
      <c r="BT68" s="40">
        <f aca="true" t="shared" si="108" ref="BT68:BT100">IF(B68="","",SUMIF(FINAL,$A68,U_FINAL_T)-SQRT(3)*U68*CZ68)</f>
      </c>
      <c r="BU68" s="40">
        <f t="shared" si="39"/>
      </c>
      <c r="BV68" s="75">
        <f t="shared" si="40"/>
      </c>
      <c r="BW68" s="75">
        <f t="shared" si="41"/>
      </c>
      <c r="BX68" s="40">
        <f t="shared" si="102"/>
      </c>
      <c r="BY68" s="40">
        <f t="shared" si="103"/>
      </c>
      <c r="BZ68" s="61"/>
      <c r="CA68" s="73">
        <f t="shared" si="43"/>
      </c>
      <c r="CB68" s="84"/>
      <c r="CC68" s="73">
        <f t="shared" si="44"/>
      </c>
      <c r="CD68" s="73">
        <f t="shared" si="85"/>
      </c>
      <c r="CE68" s="73">
        <f t="shared" si="86"/>
      </c>
      <c r="CF68" s="73">
        <f t="shared" si="87"/>
      </c>
      <c r="CG68" s="73">
        <f t="shared" si="48"/>
      </c>
      <c r="CH68" s="73">
        <f t="shared" si="49"/>
      </c>
      <c r="CI68" s="73">
        <f t="shared" si="50"/>
      </c>
      <c r="CJ68" s="76">
        <f t="shared" si="51"/>
      </c>
      <c r="CK68" s="76">
        <f t="shared" si="76"/>
      </c>
      <c r="CL68" s="76">
        <f t="shared" si="77"/>
      </c>
      <c r="CM68" s="76">
        <f t="shared" si="78"/>
      </c>
      <c r="CN68" s="40">
        <f t="shared" si="104"/>
      </c>
      <c r="CO68" s="40">
        <f t="shared" si="88"/>
      </c>
      <c r="CP68" s="40">
        <f t="shared" si="89"/>
      </c>
      <c r="CQ68" s="40">
        <f t="shared" si="90"/>
      </c>
      <c r="CR68" s="40">
        <f t="shared" si="91"/>
      </c>
      <c r="CS68" s="40">
        <f t="shared" si="81"/>
      </c>
      <c r="CT68" s="40">
        <f t="shared" si="55"/>
      </c>
      <c r="CU68" s="40">
        <f t="shared" si="93"/>
      </c>
      <c r="CV68" s="40">
        <f t="shared" si="94"/>
      </c>
      <c r="CW68" s="40">
        <f t="shared" si="95"/>
      </c>
      <c r="CX68" s="40">
        <f t="shared" si="82"/>
      </c>
      <c r="CY68" s="40">
        <f t="shared" si="83"/>
      </c>
      <c r="CZ68" s="40">
        <f t="shared" si="92"/>
      </c>
      <c r="DA68" s="40">
        <f t="shared" si="60"/>
      </c>
    </row>
    <row r="69" spans="1:105" ht="12.75">
      <c r="A69" s="61"/>
      <c r="B69" s="61"/>
      <c r="C69" s="61"/>
      <c r="D69" s="61"/>
      <c r="E69" s="61"/>
      <c r="F69" s="61"/>
      <c r="G69" s="61"/>
      <c r="H69" s="120"/>
      <c r="I69" s="61"/>
      <c r="J69" s="61"/>
      <c r="K69" s="61"/>
      <c r="L69" s="61"/>
      <c r="M69" s="61"/>
      <c r="N69" s="61"/>
      <c r="O69" s="61"/>
      <c r="P69" s="61"/>
      <c r="Q69" s="120"/>
      <c r="R69" s="120"/>
      <c r="S69" s="120"/>
      <c r="T69" s="120"/>
      <c r="U69" s="72">
        <f t="shared" si="84"/>
      </c>
      <c r="V69" s="72">
        <f t="shared" si="12"/>
      </c>
      <c r="W69" s="73">
        <f t="shared" si="13"/>
      </c>
      <c r="X69" s="72">
        <f t="shared" si="14"/>
      </c>
      <c r="Y69" s="72">
        <f t="shared" si="15"/>
      </c>
      <c r="Z69" s="72">
        <f t="shared" si="16"/>
      </c>
      <c r="AA69" s="72">
        <f t="shared" si="17"/>
      </c>
      <c r="AB69" s="72">
        <f t="shared" si="18"/>
      </c>
      <c r="AC69" s="72">
        <f t="shared" si="19"/>
      </c>
      <c r="AD69" s="74">
        <f t="shared" si="100"/>
      </c>
      <c r="AE69" s="73">
        <f t="shared" si="61"/>
      </c>
      <c r="AF69" s="40">
        <f t="shared" si="62"/>
      </c>
      <c r="AG69" s="40">
        <f t="shared" si="98"/>
      </c>
      <c r="AH69" s="40">
        <f t="shared" si="22"/>
      </c>
      <c r="AI69" s="270">
        <f t="shared" si="23"/>
      </c>
      <c r="AJ69" s="40">
        <f>IF($B69="","",I69*IF($G$14="Sí",IF(OR($D69="R",$D69="RST"),IF($D$2="Sí",IF($G69="Motor",$D$6*$W69/(BB69^2),$W69/$D$6)*($AV69*$F69+$AW69*SIN(ACOS($F69))),$W69*$F69))+SUMIF(INICIO,$B69,R_RE),0))</f>
      </c>
      <c r="AK69" s="40">
        <f>IF(B69="","",I69*IF($G$14="Sí",IF(OR($D69="R",$D69="RST"),IF($D$2="Sí",IF($G69="Motor",$D$6*$W69/(BB69^2),$W69/$D$6)*($AW69*$F69-$AV69*SIN(ACOS($F69))),-$W69*SIN(ACOS($F69))))+SUMIF(INICIO,$B69,R_IM),0))</f>
      </c>
      <c r="AL69" s="273">
        <f t="shared" si="24"/>
      </c>
      <c r="AM69" s="40">
        <f>IF(B69="","",I69*IF($H$14="Sí",IF(OR($D69="S",$D69="RST"),IF($D$2="Sí",IF($G69="Motor",$D$6*$W69/(BC69^2),$W69/$D$6)*($AX69*$F69+$AY69*SIN(ACOS($F69))),-$W69*$F69/2-SQRT(3)/2*$W69*SIN(ACOS($F69))))+SUMIF(INICIO,$B69,S_RE),0))</f>
      </c>
      <c r="AN69" s="40">
        <f>IF(B69="","",I69*IF($H$14="Sí",IF(OR($D69="S",$D69="RST"),IF($D$2="Sí",IF($G69="Motor",$D$6*$W69/(BC69^2),$W69/$D$6)*($AY69*$F69-$AX69*SIN(ACOS($F69))),-SQRT(3)/2*$W69*$F69+0.5*$W69*SIN(ACOS($F69))))+SUMIF(INICIO,$B69,S_IM),0))</f>
      </c>
      <c r="AO69" s="273">
        <f t="shared" si="25"/>
      </c>
      <c r="AP69" s="40">
        <f>IF(B69="","",I69*IF($I$14="Sí",IF(OR($D69="T",$D69="RST"),IF($D$2="Sí",IF($G69="Motor",$D$6*$W69/(BD69^2),$W69/$D$6)*($AZ69*$F69+$BA69*SIN(ACOS($F69))),-$W69*$F69/2+SQRT(3)/2*$W69*SIN(ACOS($F69))))+SUMIF(INICIO,$B69,T_RE),0))</f>
      </c>
      <c r="AQ69" s="272">
        <f>IF(B69="","",I69*IF($I$14="Sí",IF(OR($D69="T",$D69="RST"),IF($D$2="Sí",IF($G69="Motor",$D$6*$W69/(BD69^2),$W69/$D$6)*($BA69*$F69-$AZ69*SIN(ACOS($F69))),SQRT(3)/2*$W69*$F69+0.5*$W69*SIN(ACOS($F69))))+SUMIF(INICIO,$B69,T_IM),0))</f>
      </c>
      <c r="AR69" s="40">
        <f t="shared" si="26"/>
      </c>
      <c r="AS69" s="40">
        <f t="shared" si="27"/>
      </c>
      <c r="AT69" s="40">
        <f t="shared" si="28"/>
      </c>
      <c r="AU69" s="40">
        <f t="shared" si="29"/>
      </c>
      <c r="AV69" s="73">
        <f t="shared" si="63"/>
      </c>
      <c r="AW69" s="73">
        <f t="shared" si="64"/>
      </c>
      <c r="AX69" s="73">
        <f t="shared" si="65"/>
      </c>
      <c r="AY69" s="73">
        <f t="shared" si="66"/>
      </c>
      <c r="AZ69" s="73">
        <f t="shared" si="67"/>
      </c>
      <c r="BA69" s="73">
        <f t="shared" si="68"/>
      </c>
      <c r="BB69" s="73">
        <f t="shared" si="69"/>
      </c>
      <c r="BC69" s="73">
        <f t="shared" si="70"/>
      </c>
      <c r="BD69" s="73">
        <f t="shared" si="71"/>
      </c>
      <c r="BE69" s="73">
        <f t="shared" si="30"/>
      </c>
      <c r="BF69" s="73">
        <f t="shared" si="31"/>
      </c>
      <c r="BG69" s="73">
        <f t="shared" si="32"/>
      </c>
      <c r="BH69" s="73">
        <f t="shared" si="33"/>
      </c>
      <c r="BI69" s="73">
        <f t="shared" si="96"/>
      </c>
      <c r="BJ69" s="73">
        <f t="shared" si="97"/>
      </c>
      <c r="BK69" s="40">
        <f t="shared" si="72"/>
      </c>
      <c r="BL69" s="40">
        <f t="shared" si="73"/>
      </c>
      <c r="BM69" s="40">
        <f t="shared" si="74"/>
      </c>
      <c r="BN69" s="40">
        <f t="shared" si="34"/>
      </c>
      <c r="BO69" s="40">
        <f t="shared" si="101"/>
      </c>
      <c r="BP69" s="40">
        <f t="shared" si="105"/>
      </c>
      <c r="BQ69" s="40">
        <f t="shared" si="36"/>
      </c>
      <c r="BR69" s="40">
        <f t="shared" si="106"/>
      </c>
      <c r="BS69" s="40">
        <f t="shared" si="75"/>
      </c>
      <c r="BT69" s="40">
        <f t="shared" si="108"/>
      </c>
      <c r="BU69" s="40">
        <f t="shared" si="39"/>
      </c>
      <c r="BV69" s="75">
        <f t="shared" si="40"/>
      </c>
      <c r="BW69" s="75">
        <f t="shared" si="41"/>
      </c>
      <c r="BX69" s="40">
        <f t="shared" si="102"/>
      </c>
      <c r="BY69" s="40">
        <f t="shared" si="103"/>
      </c>
      <c r="BZ69" s="61"/>
      <c r="CA69" s="73">
        <f t="shared" si="43"/>
      </c>
      <c r="CB69" s="84"/>
      <c r="CC69" s="73">
        <f t="shared" si="44"/>
      </c>
      <c r="CD69" s="73">
        <f t="shared" si="85"/>
      </c>
      <c r="CE69" s="73">
        <f t="shared" si="86"/>
      </c>
      <c r="CF69" s="73">
        <f t="shared" si="87"/>
      </c>
      <c r="CG69" s="73">
        <f t="shared" si="48"/>
      </c>
      <c r="CH69" s="73">
        <f t="shared" si="49"/>
      </c>
      <c r="CI69" s="73">
        <f t="shared" si="50"/>
      </c>
      <c r="CJ69" s="76">
        <f t="shared" si="51"/>
      </c>
      <c r="CK69" s="76">
        <f t="shared" si="76"/>
      </c>
      <c r="CL69" s="76">
        <f t="shared" si="77"/>
      </c>
      <c r="CM69" s="76">
        <f t="shared" si="78"/>
      </c>
      <c r="CN69" s="40">
        <f t="shared" si="104"/>
      </c>
      <c r="CO69" s="40">
        <f t="shared" si="88"/>
      </c>
      <c r="CP69" s="40">
        <f t="shared" si="89"/>
      </c>
      <c r="CQ69" s="40">
        <f t="shared" si="90"/>
      </c>
      <c r="CR69" s="40">
        <f t="shared" si="91"/>
      </c>
      <c r="CS69" s="40">
        <f t="shared" si="81"/>
      </c>
      <c r="CT69" s="40">
        <f t="shared" si="55"/>
      </c>
      <c r="CU69" s="40">
        <f t="shared" si="93"/>
      </c>
      <c r="CV69" s="40">
        <f t="shared" si="94"/>
      </c>
      <c r="CW69" s="40">
        <f t="shared" si="95"/>
      </c>
      <c r="CX69" s="40">
        <f t="shared" si="82"/>
      </c>
      <c r="CY69" s="40">
        <f t="shared" si="83"/>
      </c>
      <c r="CZ69" s="40">
        <f t="shared" si="92"/>
      </c>
      <c r="DA69" s="40">
        <f t="shared" si="60"/>
      </c>
    </row>
    <row r="70" spans="1:105" ht="12.75">
      <c r="A70" s="61"/>
      <c r="B70" s="61"/>
      <c r="C70" s="61"/>
      <c r="D70" s="61"/>
      <c r="E70" s="61"/>
      <c r="F70" s="61"/>
      <c r="G70" s="61"/>
      <c r="H70" s="120"/>
      <c r="I70" s="61"/>
      <c r="J70" s="61"/>
      <c r="K70" s="61"/>
      <c r="L70" s="61"/>
      <c r="M70" s="61"/>
      <c r="N70" s="61"/>
      <c r="O70" s="61"/>
      <c r="P70" s="61"/>
      <c r="Q70" s="120"/>
      <c r="R70" s="120"/>
      <c r="S70" s="120"/>
      <c r="T70" s="120"/>
      <c r="U70" s="72">
        <f t="shared" si="84"/>
      </c>
      <c r="V70" s="72">
        <f t="shared" si="12"/>
      </c>
      <c r="W70" s="73">
        <f t="shared" si="13"/>
      </c>
      <c r="X70" s="72">
        <f t="shared" si="14"/>
      </c>
      <c r="Y70" s="72">
        <f t="shared" si="15"/>
      </c>
      <c r="Z70" s="72">
        <f t="shared" si="16"/>
      </c>
      <c r="AA70" s="72">
        <f t="shared" si="17"/>
      </c>
      <c r="AB70" s="72">
        <f t="shared" si="18"/>
      </c>
      <c r="AC70" s="72">
        <f t="shared" si="19"/>
      </c>
      <c r="AD70" s="74">
        <f t="shared" si="100"/>
      </c>
      <c r="AE70" s="73">
        <f t="shared" si="61"/>
      </c>
      <c r="AF70" s="40">
        <f t="shared" si="62"/>
      </c>
      <c r="AG70" s="40">
        <f t="shared" si="98"/>
      </c>
      <c r="AH70" s="40">
        <f t="shared" si="22"/>
      </c>
      <c r="AI70" s="270">
        <f t="shared" si="23"/>
      </c>
      <c r="AJ70" s="40">
        <f>IF($B70="","",I70*IF($G$14="Sí",IF(OR($D70="R",$D70="RST"),IF($D$2="Sí",IF($G70="Motor",$D$6*$W70/(BB70^2),$W70/$D$6)*($AV70*$F70+$AW70*SIN(ACOS($F70))),$W70*$F70))+SUMIF(INICIO,$B70,R_RE),0))</f>
      </c>
      <c r="AK70" s="40">
        <f>IF(B70="","",I70*IF($G$14="Sí",IF(OR($D70="R",$D70="RST"),IF($D$2="Sí",IF($G70="Motor",$D$6*$W70/(BB70^2),$W70/$D$6)*($AW70*$F70-$AV70*SIN(ACOS($F70))),-$W70*SIN(ACOS($F70))))+SUMIF(INICIO,$B70,R_IM),0))</f>
      </c>
      <c r="AL70" s="273">
        <f t="shared" si="24"/>
      </c>
      <c r="AM70" s="40">
        <f>IF(B70="","",I70*IF($H$14="Sí",IF(OR($D70="S",$D70="RST"),IF($D$2="Sí",IF($G70="Motor",$D$6*$W70/(BC70^2),$W70/$D$6)*($AX70*$F70+$AY70*SIN(ACOS($F70))),-$W70*$F70/2-SQRT(3)/2*$W70*SIN(ACOS($F70))))+SUMIF(INICIO,$B70,S_RE),0))</f>
      </c>
      <c r="AN70" s="40">
        <f>IF(B70="","",I70*IF($H$14="Sí",IF(OR($D70="S",$D70="RST"),IF($D$2="Sí",IF($G70="Motor",$D$6*$W70/(BC70^2),$W70/$D$6)*($AY70*$F70-$AX70*SIN(ACOS($F70))),-SQRT(3)/2*$W70*$F70+0.5*$W70*SIN(ACOS($F70))))+SUMIF(INICIO,$B70,S_IM),0))</f>
      </c>
      <c r="AO70" s="273">
        <f t="shared" si="25"/>
      </c>
      <c r="AP70" s="40">
        <f>IF(B70="","",I70*IF($I$14="Sí",IF(OR($D70="T",$D70="RST"),IF($D$2="Sí",IF($G70="Motor",$D$6*$W70/(BD70^2),$W70/$D$6)*($AZ70*$F70+$BA70*SIN(ACOS($F70))),-$W70*$F70/2+SQRT(3)/2*$W70*SIN(ACOS($F70))))+SUMIF(INICIO,$B70,T_RE),0))</f>
      </c>
      <c r="AQ70" s="272">
        <f>IF(B70="","",I70*IF($I$14="Sí",IF(OR($D70="T",$D70="RST"),IF($D$2="Sí",IF($G70="Motor",$D$6*$W70/(BD70^2),$W70/$D$6)*($BA70*$F70-$AZ70*SIN(ACOS($F70))),SQRT(3)/2*$W70*$F70+0.5*$W70*SIN(ACOS($F70))))+SUMIF(INICIO,$B70,T_IM),0))</f>
      </c>
      <c r="AR70" s="40">
        <f t="shared" si="26"/>
      </c>
      <c r="AS70" s="40">
        <f t="shared" si="27"/>
      </c>
      <c r="AT70" s="40">
        <f t="shared" si="28"/>
      </c>
      <c r="AU70" s="40">
        <f t="shared" si="29"/>
      </c>
      <c r="AV70" s="73">
        <f t="shared" si="63"/>
      </c>
      <c r="AW70" s="73">
        <f t="shared" si="64"/>
      </c>
      <c r="AX70" s="73">
        <f t="shared" si="65"/>
      </c>
      <c r="AY70" s="73">
        <f t="shared" si="66"/>
      </c>
      <c r="AZ70" s="73">
        <f t="shared" si="67"/>
      </c>
      <c r="BA70" s="73">
        <f t="shared" si="68"/>
      </c>
      <c r="BB70" s="73">
        <f t="shared" si="69"/>
      </c>
      <c r="BC70" s="73">
        <f t="shared" si="70"/>
      </c>
      <c r="BD70" s="73">
        <f t="shared" si="71"/>
      </c>
      <c r="BE70" s="73">
        <f t="shared" si="30"/>
      </c>
      <c r="BF70" s="73">
        <f t="shared" si="31"/>
      </c>
      <c r="BG70" s="73">
        <f t="shared" si="32"/>
      </c>
      <c r="BH70" s="73">
        <f t="shared" si="33"/>
      </c>
      <c r="BI70" s="73">
        <f t="shared" si="96"/>
      </c>
      <c r="BJ70" s="73">
        <f t="shared" si="97"/>
      </c>
      <c r="BK70" s="40">
        <f t="shared" si="72"/>
      </c>
      <c r="BL70" s="40">
        <f t="shared" si="73"/>
      </c>
      <c r="BM70" s="40">
        <f t="shared" si="74"/>
      </c>
      <c r="BN70" s="40">
        <f t="shared" si="34"/>
      </c>
      <c r="BO70" s="40">
        <f t="shared" si="101"/>
      </c>
      <c r="BP70" s="40">
        <f t="shared" si="105"/>
      </c>
      <c r="BQ70" s="40">
        <f t="shared" si="36"/>
      </c>
      <c r="BR70" s="40">
        <f t="shared" si="106"/>
      </c>
      <c r="BS70" s="40">
        <f t="shared" si="75"/>
      </c>
      <c r="BT70" s="40">
        <f t="shared" si="108"/>
      </c>
      <c r="BU70" s="40">
        <f t="shared" si="39"/>
      </c>
      <c r="BV70" s="75">
        <f t="shared" si="40"/>
      </c>
      <c r="BW70" s="75">
        <f t="shared" si="41"/>
      </c>
      <c r="BX70" s="40">
        <f t="shared" si="102"/>
      </c>
      <c r="BY70" s="40">
        <f t="shared" si="103"/>
      </c>
      <c r="BZ70" s="61"/>
      <c r="CA70" s="73">
        <f t="shared" si="43"/>
      </c>
      <c r="CB70" s="84"/>
      <c r="CC70" s="73">
        <f t="shared" si="44"/>
      </c>
      <c r="CD70" s="73">
        <f t="shared" si="85"/>
      </c>
      <c r="CE70" s="73">
        <f t="shared" si="86"/>
      </c>
      <c r="CF70" s="73">
        <f t="shared" si="87"/>
      </c>
      <c r="CG70" s="73">
        <f t="shared" si="48"/>
      </c>
      <c r="CH70" s="73">
        <f t="shared" si="49"/>
      </c>
      <c r="CI70" s="73">
        <f t="shared" si="50"/>
      </c>
      <c r="CJ70" s="76">
        <f t="shared" si="51"/>
      </c>
      <c r="CK70" s="76">
        <f t="shared" si="76"/>
      </c>
      <c r="CL70" s="76">
        <f t="shared" si="77"/>
      </c>
      <c r="CM70" s="76">
        <f t="shared" si="78"/>
      </c>
      <c r="CN70" s="40">
        <f t="shared" si="104"/>
      </c>
      <c r="CO70" s="40">
        <f t="shared" si="88"/>
      </c>
      <c r="CP70" s="40">
        <f t="shared" si="89"/>
      </c>
      <c r="CQ70" s="40">
        <f t="shared" si="90"/>
      </c>
      <c r="CR70" s="40">
        <f t="shared" si="91"/>
      </c>
      <c r="CS70" s="40">
        <f t="shared" si="81"/>
      </c>
      <c r="CT70" s="40">
        <f t="shared" si="55"/>
      </c>
      <c r="CU70" s="40">
        <f t="shared" si="93"/>
      </c>
      <c r="CV70" s="40">
        <f t="shared" si="94"/>
      </c>
      <c r="CW70" s="40">
        <f t="shared" si="95"/>
      </c>
      <c r="CX70" s="40">
        <f t="shared" si="82"/>
      </c>
      <c r="CY70" s="40">
        <f t="shared" si="83"/>
      </c>
      <c r="CZ70" s="40">
        <f t="shared" si="92"/>
      </c>
      <c r="DA70" s="40">
        <f t="shared" si="60"/>
      </c>
    </row>
    <row r="71" spans="1:105" ht="12.75">
      <c r="A71" s="61"/>
      <c r="B71" s="61"/>
      <c r="C71" s="61"/>
      <c r="D71" s="61"/>
      <c r="E71" s="61"/>
      <c r="F71" s="61"/>
      <c r="G71" s="61"/>
      <c r="H71" s="120"/>
      <c r="I71" s="61"/>
      <c r="J71" s="61"/>
      <c r="K71" s="61"/>
      <c r="L71" s="61"/>
      <c r="M71" s="61"/>
      <c r="N71" s="61"/>
      <c r="O71" s="61"/>
      <c r="P71" s="61"/>
      <c r="Q71" s="120"/>
      <c r="R71" s="120"/>
      <c r="S71" s="120"/>
      <c r="T71" s="120"/>
      <c r="U71" s="72">
        <f t="shared" si="84"/>
      </c>
      <c r="V71" s="72">
        <f t="shared" si="12"/>
      </c>
      <c r="W71" s="73">
        <f t="shared" si="13"/>
      </c>
      <c r="X71" s="72">
        <f t="shared" si="14"/>
      </c>
      <c r="Y71" s="72">
        <f t="shared" si="15"/>
      </c>
      <c r="Z71" s="72">
        <f t="shared" si="16"/>
      </c>
      <c r="AA71" s="72">
        <f t="shared" si="17"/>
      </c>
      <c r="AB71" s="72">
        <f t="shared" si="18"/>
      </c>
      <c r="AC71" s="72">
        <f t="shared" si="19"/>
      </c>
      <c r="AD71" s="74">
        <f t="shared" si="100"/>
      </c>
      <c r="AE71" s="73">
        <f t="shared" si="61"/>
      </c>
      <c r="AF71" s="40">
        <f t="shared" si="62"/>
      </c>
      <c r="AG71" s="40">
        <f t="shared" si="98"/>
      </c>
      <c r="AH71" s="40">
        <f t="shared" si="22"/>
      </c>
      <c r="AI71" s="270">
        <f t="shared" si="23"/>
      </c>
      <c r="AJ71" s="40">
        <f>IF($B71="","",I71*IF($G$14="Sí",IF(OR($D71="R",$D71="RST"),IF($D$2="Sí",IF($G71="Motor",$D$6*$W71/(BB71^2),$W71/$D$6)*($AV71*$F71+$AW71*SIN(ACOS($F71))),$W71*$F71))+SUMIF(INICIO,$B71,R_RE),0))</f>
      </c>
      <c r="AK71" s="40">
        <f>IF(B71="","",I71*IF($G$14="Sí",IF(OR($D71="R",$D71="RST"),IF($D$2="Sí",IF($G71="Motor",$D$6*$W71/(BB71^2),$W71/$D$6)*($AW71*$F71-$AV71*SIN(ACOS($F71))),-$W71*SIN(ACOS($F71))))+SUMIF(INICIO,$B71,R_IM),0))</f>
      </c>
      <c r="AL71" s="273">
        <f t="shared" si="24"/>
      </c>
      <c r="AM71" s="40">
        <f>IF(B71="","",I71*IF($H$14="Sí",IF(OR($D71="S",$D71="RST"),IF($D$2="Sí",IF($G71="Motor",$D$6*$W71/(BC71^2),$W71/$D$6)*($AX71*$F71+$AY71*SIN(ACOS($F71))),-$W71*$F71/2-SQRT(3)/2*$W71*SIN(ACOS($F71))))+SUMIF(INICIO,$B71,S_RE),0))</f>
      </c>
      <c r="AN71" s="40">
        <f>IF(B71="","",I71*IF($H$14="Sí",IF(OR($D71="S",$D71="RST"),IF($D$2="Sí",IF($G71="Motor",$D$6*$W71/(BC71^2),$W71/$D$6)*($AY71*$F71-$AX71*SIN(ACOS($F71))),-SQRT(3)/2*$W71*$F71+0.5*$W71*SIN(ACOS($F71))))+SUMIF(INICIO,$B71,S_IM),0))</f>
      </c>
      <c r="AO71" s="273">
        <f t="shared" si="25"/>
      </c>
      <c r="AP71" s="40">
        <f>IF(B71="","",I71*IF($I$14="Sí",IF(OR($D71="T",$D71="RST"),IF($D$2="Sí",IF($G71="Motor",$D$6*$W71/(BD71^2),$W71/$D$6)*($AZ71*$F71+$BA71*SIN(ACOS($F71))),-$W71*$F71/2+SQRT(3)/2*$W71*SIN(ACOS($F71))))+SUMIF(INICIO,$B71,T_RE),0))</f>
      </c>
      <c r="AQ71" s="272">
        <f>IF(B71="","",I71*IF($I$14="Sí",IF(OR($D71="T",$D71="RST"),IF($D$2="Sí",IF($G71="Motor",$D$6*$W71/(BD71^2),$W71/$D$6)*($BA71*$F71-$AZ71*SIN(ACOS($F71))),SQRT(3)/2*$W71*$F71+0.5*$W71*SIN(ACOS($F71))))+SUMIF(INICIO,$B71,T_IM),0))</f>
      </c>
      <c r="AR71" s="40">
        <f t="shared" si="26"/>
      </c>
      <c r="AS71" s="40">
        <f t="shared" si="27"/>
      </c>
      <c r="AT71" s="40">
        <f t="shared" si="28"/>
      </c>
      <c r="AU71" s="40">
        <f t="shared" si="29"/>
      </c>
      <c r="AV71" s="73">
        <f t="shared" si="63"/>
      </c>
      <c r="AW71" s="73">
        <f t="shared" si="64"/>
      </c>
      <c r="AX71" s="73">
        <f t="shared" si="65"/>
      </c>
      <c r="AY71" s="73">
        <f t="shared" si="66"/>
      </c>
      <c r="AZ71" s="73">
        <f t="shared" si="67"/>
      </c>
      <c r="BA71" s="73">
        <f t="shared" si="68"/>
      </c>
      <c r="BB71" s="73">
        <f t="shared" si="69"/>
      </c>
      <c r="BC71" s="73">
        <f t="shared" si="70"/>
      </c>
      <c r="BD71" s="73">
        <f t="shared" si="71"/>
      </c>
      <c r="BE71" s="73">
        <f t="shared" si="30"/>
      </c>
      <c r="BF71" s="73">
        <f t="shared" si="31"/>
      </c>
      <c r="BG71" s="73">
        <f t="shared" si="32"/>
      </c>
      <c r="BH71" s="73">
        <f t="shared" si="33"/>
      </c>
      <c r="BI71" s="73">
        <f t="shared" si="96"/>
      </c>
      <c r="BJ71" s="73">
        <f t="shared" si="97"/>
      </c>
      <c r="BK71" s="40">
        <f t="shared" si="72"/>
      </c>
      <c r="BL71" s="40">
        <f t="shared" si="73"/>
      </c>
      <c r="BM71" s="40">
        <f t="shared" si="74"/>
      </c>
      <c r="BN71" s="40">
        <f t="shared" si="34"/>
      </c>
      <c r="BO71" s="40">
        <f t="shared" si="101"/>
      </c>
      <c r="BP71" s="40">
        <f t="shared" si="105"/>
      </c>
      <c r="BQ71" s="40">
        <f t="shared" si="36"/>
      </c>
      <c r="BR71" s="40">
        <f t="shared" si="106"/>
      </c>
      <c r="BS71" s="40">
        <f t="shared" si="75"/>
      </c>
      <c r="BT71" s="40">
        <f t="shared" si="108"/>
      </c>
      <c r="BU71" s="40">
        <f t="shared" si="39"/>
      </c>
      <c r="BV71" s="75">
        <f t="shared" si="40"/>
      </c>
      <c r="BW71" s="75">
        <f t="shared" si="41"/>
      </c>
      <c r="BX71" s="40">
        <f t="shared" si="102"/>
      </c>
      <c r="BY71" s="40">
        <f t="shared" si="103"/>
      </c>
      <c r="BZ71" s="61"/>
      <c r="CA71" s="73">
        <f t="shared" si="43"/>
      </c>
      <c r="CB71" s="84"/>
      <c r="CC71" s="73">
        <f t="shared" si="44"/>
      </c>
      <c r="CD71" s="73">
        <f t="shared" si="85"/>
      </c>
      <c r="CE71" s="73">
        <f t="shared" si="86"/>
      </c>
      <c r="CF71" s="73">
        <f t="shared" si="87"/>
      </c>
      <c r="CG71" s="73">
        <f t="shared" si="48"/>
      </c>
      <c r="CH71" s="73">
        <f t="shared" si="49"/>
      </c>
      <c r="CI71" s="73">
        <f t="shared" si="50"/>
      </c>
      <c r="CJ71" s="76">
        <f t="shared" si="51"/>
      </c>
      <c r="CK71" s="76">
        <f t="shared" si="76"/>
      </c>
      <c r="CL71" s="76">
        <f t="shared" si="77"/>
      </c>
      <c r="CM71" s="76">
        <f t="shared" si="78"/>
      </c>
      <c r="CN71" s="40">
        <f t="shared" si="104"/>
      </c>
      <c r="CO71" s="40">
        <f t="shared" si="88"/>
      </c>
      <c r="CP71" s="40">
        <f t="shared" si="89"/>
      </c>
      <c r="CQ71" s="40">
        <f t="shared" si="90"/>
      </c>
      <c r="CR71" s="40">
        <f t="shared" si="91"/>
      </c>
      <c r="CS71" s="40">
        <f t="shared" si="81"/>
      </c>
      <c r="CT71" s="40">
        <f t="shared" si="55"/>
      </c>
      <c r="CU71" s="40">
        <f t="shared" si="93"/>
      </c>
      <c r="CV71" s="40">
        <f t="shared" si="94"/>
      </c>
      <c r="CW71" s="40">
        <f t="shared" si="95"/>
      </c>
      <c r="CX71" s="40">
        <f t="shared" si="82"/>
      </c>
      <c r="CY71" s="40">
        <f t="shared" si="83"/>
      </c>
      <c r="CZ71" s="40">
        <f t="shared" si="92"/>
      </c>
      <c r="DA71" s="40">
        <f t="shared" si="60"/>
      </c>
    </row>
    <row r="72" spans="1:105" ht="12.75">
      <c r="A72" s="61"/>
      <c r="B72" s="61"/>
      <c r="C72" s="61"/>
      <c r="D72" s="61"/>
      <c r="E72" s="61"/>
      <c r="F72" s="61"/>
      <c r="G72" s="61"/>
      <c r="H72" s="120"/>
      <c r="I72" s="61"/>
      <c r="J72" s="61"/>
      <c r="K72" s="61"/>
      <c r="L72" s="61"/>
      <c r="M72" s="61"/>
      <c r="N72" s="61"/>
      <c r="O72" s="61"/>
      <c r="P72" s="61"/>
      <c r="Q72" s="120"/>
      <c r="R72" s="120"/>
      <c r="S72" s="120"/>
      <c r="T72" s="120"/>
      <c r="U72" s="72">
        <f t="shared" si="84"/>
      </c>
      <c r="V72" s="72">
        <f t="shared" si="12"/>
      </c>
      <c r="W72" s="73">
        <f t="shared" si="13"/>
      </c>
      <c r="X72" s="72">
        <f t="shared" si="14"/>
      </c>
      <c r="Y72" s="72">
        <f t="shared" si="15"/>
      </c>
      <c r="Z72" s="72">
        <f t="shared" si="16"/>
      </c>
      <c r="AA72" s="72">
        <f t="shared" si="17"/>
      </c>
      <c r="AB72" s="72">
        <f t="shared" si="18"/>
      </c>
      <c r="AC72" s="72">
        <f t="shared" si="19"/>
      </c>
      <c r="AD72" s="74">
        <f t="shared" si="100"/>
      </c>
      <c r="AE72" s="73">
        <f t="shared" si="61"/>
      </c>
      <c r="AF72" s="40">
        <f t="shared" si="62"/>
      </c>
      <c r="AG72" s="40">
        <f t="shared" si="98"/>
      </c>
      <c r="AH72" s="40">
        <f t="shared" si="22"/>
      </c>
      <c r="AI72" s="270">
        <f t="shared" si="23"/>
      </c>
      <c r="AJ72" s="40">
        <f>IF($B72="","",I72*IF($G$14="Sí",IF(OR($D72="R",$D72="RST"),IF($D$2="Sí",IF($G72="Motor",$D$6*$W72/(BB72^2),$W72/$D$6)*($AV72*$F72+$AW72*SIN(ACOS($F72))),$W72*$F72))+SUMIF(INICIO,$B72,R_RE),0))</f>
      </c>
      <c r="AK72" s="40">
        <f>IF(B72="","",I72*IF($G$14="Sí",IF(OR($D72="R",$D72="RST"),IF($D$2="Sí",IF($G72="Motor",$D$6*$W72/(BB72^2),$W72/$D$6)*($AW72*$F72-$AV72*SIN(ACOS($F72))),-$W72*SIN(ACOS($F72))))+SUMIF(INICIO,$B72,R_IM),0))</f>
      </c>
      <c r="AL72" s="273">
        <f t="shared" si="24"/>
      </c>
      <c r="AM72" s="40">
        <f>IF(B72="","",I72*IF($H$14="Sí",IF(OR($D72="S",$D72="RST"),IF($D$2="Sí",IF($G72="Motor",$D$6*$W72/(BC72^2),$W72/$D$6)*($AX72*$F72+$AY72*SIN(ACOS($F72))),-$W72*$F72/2-SQRT(3)/2*$W72*SIN(ACOS($F72))))+SUMIF(INICIO,$B72,S_RE),0))</f>
      </c>
      <c r="AN72" s="40">
        <f>IF(B72="","",I72*IF($H$14="Sí",IF(OR($D72="S",$D72="RST"),IF($D$2="Sí",IF($G72="Motor",$D$6*$W72/(BC72^2),$W72/$D$6)*($AY72*$F72-$AX72*SIN(ACOS($F72))),-SQRT(3)/2*$W72*$F72+0.5*$W72*SIN(ACOS($F72))))+SUMIF(INICIO,$B72,S_IM),0))</f>
      </c>
      <c r="AO72" s="273">
        <f t="shared" si="25"/>
      </c>
      <c r="AP72" s="40">
        <f>IF(B72="","",I72*IF($I$14="Sí",IF(OR($D72="T",$D72="RST"),IF($D$2="Sí",IF($G72="Motor",$D$6*$W72/(BD72^2),$W72/$D$6)*($AZ72*$F72+$BA72*SIN(ACOS($F72))),-$W72*$F72/2+SQRT(3)/2*$W72*SIN(ACOS($F72))))+SUMIF(INICIO,$B72,T_RE),0))</f>
      </c>
      <c r="AQ72" s="272">
        <f>IF(B72="","",I72*IF($I$14="Sí",IF(OR($D72="T",$D72="RST"),IF($D$2="Sí",IF($G72="Motor",$D$6*$W72/(BD72^2),$W72/$D$6)*($BA72*$F72-$AZ72*SIN(ACOS($F72))),SQRT(3)/2*$W72*$F72+0.5*$W72*SIN(ACOS($F72))))+SUMIF(INICIO,$B72,T_IM),0))</f>
      </c>
      <c r="AR72" s="40">
        <f t="shared" si="26"/>
      </c>
      <c r="AS72" s="40">
        <f t="shared" si="27"/>
      </c>
      <c r="AT72" s="40">
        <f t="shared" si="28"/>
      </c>
      <c r="AU72" s="40">
        <f t="shared" si="29"/>
      </c>
      <c r="AV72" s="73">
        <f t="shared" si="63"/>
      </c>
      <c r="AW72" s="73">
        <f t="shared" si="64"/>
      </c>
      <c r="AX72" s="73">
        <f t="shared" si="65"/>
      </c>
      <c r="AY72" s="73">
        <f t="shared" si="66"/>
      </c>
      <c r="AZ72" s="73">
        <f t="shared" si="67"/>
      </c>
      <c r="BA72" s="73">
        <f t="shared" si="68"/>
      </c>
      <c r="BB72" s="73">
        <f t="shared" si="69"/>
      </c>
      <c r="BC72" s="73">
        <f t="shared" si="70"/>
      </c>
      <c r="BD72" s="73">
        <f t="shared" si="71"/>
      </c>
      <c r="BE72" s="73">
        <f t="shared" si="30"/>
      </c>
      <c r="BF72" s="73">
        <f t="shared" si="31"/>
      </c>
      <c r="BG72" s="73">
        <f t="shared" si="32"/>
      </c>
      <c r="BH72" s="73">
        <f t="shared" si="33"/>
      </c>
      <c r="BI72" s="73">
        <f t="shared" si="96"/>
      </c>
      <c r="BJ72" s="73">
        <f t="shared" si="97"/>
      </c>
      <c r="BK72" s="40">
        <f t="shared" si="72"/>
      </c>
      <c r="BL72" s="40">
        <f t="shared" si="73"/>
      </c>
      <c r="BM72" s="40">
        <f t="shared" si="74"/>
      </c>
      <c r="BN72" s="40">
        <f t="shared" si="34"/>
      </c>
      <c r="BO72" s="40">
        <f t="shared" si="101"/>
      </c>
      <c r="BP72" s="40">
        <f t="shared" si="105"/>
      </c>
      <c r="BQ72" s="40">
        <f t="shared" si="36"/>
      </c>
      <c r="BR72" s="40">
        <f t="shared" si="106"/>
      </c>
      <c r="BS72" s="40">
        <f t="shared" si="75"/>
      </c>
      <c r="BT72" s="40">
        <f t="shared" si="108"/>
      </c>
      <c r="BU72" s="40">
        <f t="shared" si="39"/>
      </c>
      <c r="BV72" s="75">
        <f t="shared" si="40"/>
      </c>
      <c r="BW72" s="75">
        <f t="shared" si="41"/>
      </c>
      <c r="BX72" s="40">
        <f t="shared" si="102"/>
      </c>
      <c r="BY72" s="40">
        <f t="shared" si="103"/>
      </c>
      <c r="BZ72" s="61"/>
      <c r="CA72" s="73">
        <f t="shared" si="43"/>
      </c>
      <c r="CB72" s="84"/>
      <c r="CC72" s="73">
        <f>IF(FINAL="","",SUMIF(FINAL,$H72,I_nom_A))</f>
      </c>
      <c r="CD72" s="73">
        <f t="shared" si="85"/>
      </c>
      <c r="CE72" s="73">
        <f t="shared" si="86"/>
      </c>
      <c r="CF72" s="73">
        <f t="shared" si="87"/>
      </c>
      <c r="CG72" s="73">
        <f t="shared" si="48"/>
      </c>
      <c r="CH72" s="73">
        <f t="shared" si="49"/>
      </c>
      <c r="CI72" s="73">
        <f t="shared" si="50"/>
      </c>
      <c r="CJ72" s="76">
        <f t="shared" si="51"/>
      </c>
      <c r="CK72" s="76">
        <f t="shared" si="76"/>
      </c>
      <c r="CL72" s="76">
        <f t="shared" si="77"/>
      </c>
      <c r="CM72" s="76">
        <f t="shared" si="78"/>
      </c>
      <c r="CN72" s="40">
        <f t="shared" si="104"/>
      </c>
      <c r="CO72" s="40">
        <f t="shared" si="88"/>
      </c>
      <c r="CP72" s="40">
        <f t="shared" si="89"/>
      </c>
      <c r="CQ72" s="40">
        <f t="shared" si="90"/>
      </c>
      <c r="CR72" s="40">
        <f t="shared" si="91"/>
      </c>
      <c r="CS72" s="40">
        <f t="shared" si="81"/>
      </c>
      <c r="CT72" s="40">
        <f t="shared" si="55"/>
      </c>
      <c r="CU72" s="40">
        <f t="shared" si="93"/>
      </c>
      <c r="CV72" s="40">
        <f t="shared" si="94"/>
      </c>
      <c r="CW72" s="40">
        <f t="shared" si="95"/>
      </c>
      <c r="CX72" s="40">
        <f t="shared" si="82"/>
      </c>
      <c r="CY72" s="40">
        <f t="shared" si="83"/>
      </c>
      <c r="CZ72" s="40">
        <f t="shared" si="92"/>
      </c>
      <c r="DA72" s="40">
        <f t="shared" si="60"/>
      </c>
    </row>
    <row r="73" spans="1:105" ht="12.75">
      <c r="A73" s="61"/>
      <c r="B73" s="61"/>
      <c r="C73" s="61"/>
      <c r="D73" s="61"/>
      <c r="E73" s="61"/>
      <c r="F73" s="61"/>
      <c r="G73" s="61"/>
      <c r="H73" s="120"/>
      <c r="I73" s="61"/>
      <c r="J73" s="61"/>
      <c r="K73" s="61"/>
      <c r="L73" s="61"/>
      <c r="M73" s="61"/>
      <c r="N73" s="61"/>
      <c r="O73" s="61"/>
      <c r="P73" s="61"/>
      <c r="Q73" s="120"/>
      <c r="R73" s="120"/>
      <c r="S73" s="120"/>
      <c r="T73" s="120"/>
      <c r="U73" s="72">
        <f t="shared" si="84"/>
      </c>
      <c r="V73" s="72">
        <f t="shared" si="12"/>
      </c>
      <c r="W73" s="73">
        <f t="shared" si="13"/>
      </c>
      <c r="X73" s="72">
        <f t="shared" si="14"/>
      </c>
      <c r="Y73" s="72">
        <f t="shared" si="15"/>
      </c>
      <c r="Z73" s="72">
        <f t="shared" si="16"/>
      </c>
      <c r="AA73" s="72">
        <f t="shared" si="17"/>
      </c>
      <c r="AB73" s="72">
        <f t="shared" si="18"/>
      </c>
      <c r="AC73" s="72">
        <f t="shared" si="19"/>
      </c>
      <c r="AD73" s="74">
        <f t="shared" si="100"/>
      </c>
      <c r="AE73" s="73">
        <f t="shared" si="61"/>
      </c>
      <c r="AF73" s="40">
        <f t="shared" si="62"/>
      </c>
      <c r="AG73" s="40">
        <f t="shared" si="98"/>
      </c>
      <c r="AH73" s="40">
        <f t="shared" si="22"/>
      </c>
      <c r="AI73" s="270">
        <f t="shared" si="23"/>
      </c>
      <c r="AJ73" s="40">
        <f>IF($B73="","",I73*IF($G$14="Sí",IF(OR($D73="R",$D73="RST"),IF($D$2="Sí",IF($G73="Motor",$D$6*$W73/(BB73^2),$W73/$D$6)*($AV73*$F73+$AW73*SIN(ACOS($F73))),$W73*$F73))+SUMIF(INICIO,$B73,R_RE),0))</f>
      </c>
      <c r="AK73" s="40">
        <f>IF(B73="","",I73*IF($G$14="Sí",IF(OR($D73="R",$D73="RST"),IF($D$2="Sí",IF($G73="Motor",$D$6*$W73/(BB73^2),$W73/$D$6)*($AW73*$F73-$AV73*SIN(ACOS($F73))),-$W73*SIN(ACOS($F73))))+SUMIF(INICIO,$B73,R_IM),0))</f>
      </c>
      <c r="AL73" s="273">
        <f t="shared" si="24"/>
      </c>
      <c r="AM73" s="40">
        <f>IF(B73="","",I73*IF($H$14="Sí",IF(OR($D73="S",$D73="RST"),IF($D$2="Sí",IF($G73="Motor",$D$6*$W73/(BC73^2),$W73/$D$6)*($AX73*$F73+$AY73*SIN(ACOS($F73))),-$W73*$F73/2-SQRT(3)/2*$W73*SIN(ACOS($F73))))+SUMIF(INICIO,$B73,S_RE),0))</f>
      </c>
      <c r="AN73" s="40">
        <f>IF(B73="","",I73*IF($H$14="Sí",IF(OR($D73="S",$D73="RST"),IF($D$2="Sí",IF($G73="Motor",$D$6*$W73/(BC73^2),$W73/$D$6)*($AY73*$F73-$AX73*SIN(ACOS($F73))),-SQRT(3)/2*$W73*$F73+0.5*$W73*SIN(ACOS($F73))))+SUMIF(INICIO,$B73,S_IM),0))</f>
      </c>
      <c r="AO73" s="273">
        <f t="shared" si="25"/>
      </c>
      <c r="AP73" s="40">
        <f>IF(B73="","",I73*IF($I$14="Sí",IF(OR($D73="T",$D73="RST"),IF($D$2="Sí",IF($G73="Motor",$D$6*$W73/(BD73^2),$W73/$D$6)*($AZ73*$F73+$BA73*SIN(ACOS($F73))),-$W73*$F73/2+SQRT(3)/2*$W73*SIN(ACOS($F73))))+SUMIF(INICIO,$B73,T_RE),0))</f>
      </c>
      <c r="AQ73" s="272">
        <f>IF(B73="","",I73*IF($I$14="Sí",IF(OR($D73="T",$D73="RST"),IF($D$2="Sí",IF($G73="Motor",$D$6*$W73/(BD73^2),$W73/$D$6)*($BA73*$F73-$AZ73*SIN(ACOS($F73))),SQRT(3)/2*$W73*$F73+0.5*$W73*SIN(ACOS($F73))))+SUMIF(INICIO,$B73,T_IM),0))</f>
      </c>
      <c r="AR73" s="40">
        <f t="shared" si="26"/>
      </c>
      <c r="AS73" s="40">
        <f t="shared" si="27"/>
      </c>
      <c r="AT73" s="40">
        <f t="shared" si="28"/>
      </c>
      <c r="AU73" s="40">
        <f t="shared" si="29"/>
      </c>
      <c r="AV73" s="73">
        <f t="shared" si="63"/>
      </c>
      <c r="AW73" s="73">
        <f t="shared" si="64"/>
      </c>
      <c r="AX73" s="73">
        <f t="shared" si="65"/>
      </c>
      <c r="AY73" s="73">
        <f t="shared" si="66"/>
      </c>
      <c r="AZ73" s="73">
        <f t="shared" si="67"/>
      </c>
      <c r="BA73" s="73">
        <f t="shared" si="68"/>
      </c>
      <c r="BB73" s="73">
        <f t="shared" si="69"/>
      </c>
      <c r="BC73" s="73">
        <f t="shared" si="70"/>
      </c>
      <c r="BD73" s="73">
        <f t="shared" si="71"/>
      </c>
      <c r="BE73" s="73">
        <f t="shared" si="30"/>
      </c>
      <c r="BF73" s="73">
        <f t="shared" si="31"/>
      </c>
      <c r="BG73" s="73">
        <f t="shared" si="32"/>
      </c>
      <c r="BH73" s="73">
        <f t="shared" si="33"/>
      </c>
      <c r="BI73" s="73">
        <f t="shared" si="96"/>
      </c>
      <c r="BJ73" s="73">
        <f t="shared" si="97"/>
      </c>
      <c r="BK73" s="40">
        <f t="shared" si="72"/>
      </c>
      <c r="BL73" s="40">
        <f t="shared" si="73"/>
      </c>
      <c r="BM73" s="40">
        <f t="shared" si="74"/>
      </c>
      <c r="BN73" s="40">
        <f t="shared" si="34"/>
      </c>
      <c r="BO73" s="40">
        <f t="shared" si="101"/>
      </c>
      <c r="BP73" s="40">
        <f t="shared" si="105"/>
      </c>
      <c r="BQ73" s="40">
        <f t="shared" si="36"/>
      </c>
      <c r="BR73" s="40">
        <f t="shared" si="106"/>
      </c>
      <c r="BS73" s="40">
        <f t="shared" si="75"/>
      </c>
      <c r="BT73" s="40">
        <f t="shared" si="108"/>
      </c>
      <c r="BU73" s="40">
        <f t="shared" si="39"/>
      </c>
      <c r="BV73" s="75">
        <f t="shared" si="40"/>
      </c>
      <c r="BW73" s="75">
        <f t="shared" si="41"/>
      </c>
      <c r="BX73" s="40">
        <f t="shared" si="102"/>
      </c>
      <c r="BY73" s="40">
        <f t="shared" si="103"/>
      </c>
      <c r="BZ73" s="61"/>
      <c r="CA73" s="73">
        <f t="shared" si="43"/>
      </c>
      <c r="CB73" s="84"/>
      <c r="CC73" s="73">
        <f>IF(FINAL="","",SUMIF(FINAL,$H73,I_nom_A))</f>
      </c>
      <c r="CD73" s="73">
        <f t="shared" si="85"/>
      </c>
      <c r="CE73" s="73">
        <f t="shared" si="86"/>
      </c>
      <c r="CF73" s="73">
        <f t="shared" si="87"/>
      </c>
      <c r="CG73" s="73">
        <f t="shared" si="48"/>
      </c>
      <c r="CH73" s="73">
        <f t="shared" si="49"/>
      </c>
      <c r="CI73" s="73">
        <f t="shared" si="50"/>
      </c>
      <c r="CJ73" s="76">
        <f t="shared" si="51"/>
      </c>
      <c r="CK73" s="76">
        <f t="shared" si="76"/>
      </c>
      <c r="CL73" s="76">
        <f t="shared" si="77"/>
      </c>
      <c r="CM73" s="76">
        <f t="shared" si="78"/>
      </c>
      <c r="CN73" s="40">
        <f t="shared" si="104"/>
      </c>
      <c r="CO73" s="40">
        <f t="shared" si="88"/>
      </c>
      <c r="CP73" s="40">
        <f t="shared" si="89"/>
      </c>
      <c r="CQ73" s="40">
        <f t="shared" si="90"/>
      </c>
      <c r="CR73" s="40">
        <f t="shared" si="91"/>
      </c>
      <c r="CS73" s="40">
        <f t="shared" si="81"/>
      </c>
      <c r="CT73" s="40">
        <f t="shared" si="55"/>
      </c>
      <c r="CU73" s="40">
        <f t="shared" si="93"/>
      </c>
      <c r="CV73" s="40">
        <f t="shared" si="94"/>
      </c>
      <c r="CW73" s="40">
        <f t="shared" si="95"/>
      </c>
      <c r="CX73" s="40">
        <f t="shared" si="82"/>
      </c>
      <c r="CY73" s="40">
        <f t="shared" si="83"/>
      </c>
      <c r="CZ73" s="40">
        <f t="shared" si="92"/>
      </c>
      <c r="DA73" s="40">
        <f t="shared" si="60"/>
      </c>
    </row>
    <row r="74" spans="1:105" ht="12.75">
      <c r="A74" s="61"/>
      <c r="B74" s="61"/>
      <c r="C74" s="61"/>
      <c r="D74" s="61"/>
      <c r="E74" s="61"/>
      <c r="F74" s="61"/>
      <c r="G74" s="61"/>
      <c r="H74" s="120"/>
      <c r="I74" s="61"/>
      <c r="J74" s="61"/>
      <c r="K74" s="61"/>
      <c r="L74" s="61"/>
      <c r="M74" s="61"/>
      <c r="N74" s="61"/>
      <c r="O74" s="61"/>
      <c r="P74" s="61"/>
      <c r="Q74" s="120"/>
      <c r="R74" s="120"/>
      <c r="S74" s="120"/>
      <c r="T74" s="120"/>
      <c r="U74" s="72">
        <f t="shared" si="84"/>
      </c>
      <c r="V74" s="72">
        <f t="shared" si="12"/>
      </c>
      <c r="W74" s="73">
        <f t="shared" si="13"/>
      </c>
      <c r="X74" s="72">
        <f t="shared" si="14"/>
      </c>
      <c r="Y74" s="72">
        <f t="shared" si="15"/>
      </c>
      <c r="Z74" s="72">
        <f t="shared" si="16"/>
      </c>
      <c r="AA74" s="72">
        <f t="shared" si="17"/>
      </c>
      <c r="AB74" s="72">
        <f t="shared" si="18"/>
      </c>
      <c r="AC74" s="72">
        <f t="shared" si="19"/>
      </c>
      <c r="AD74" s="74">
        <f t="shared" si="100"/>
      </c>
      <c r="AE74" s="73">
        <f t="shared" si="61"/>
      </c>
      <c r="AF74" s="40">
        <f t="shared" si="62"/>
      </c>
      <c r="AG74" s="40">
        <f t="shared" si="98"/>
      </c>
      <c r="AH74" s="40">
        <f t="shared" si="22"/>
      </c>
      <c r="AI74" s="270">
        <f t="shared" si="23"/>
      </c>
      <c r="AJ74" s="40">
        <f>IF($B74="","",I74*IF($G$14="Sí",IF(OR($D74="R",$D74="RST"),IF($D$2="Sí",IF($G74="Motor",$D$6*$W74/(BB74^2),$W74/$D$6)*($AV74*$F74+$AW74*SIN(ACOS($F74))),$W74*$F74))+SUMIF(INICIO,$B74,R_RE),0))</f>
      </c>
      <c r="AK74" s="40">
        <f>IF(B74="","",I74*IF($G$14="Sí",IF(OR($D74="R",$D74="RST"),IF($D$2="Sí",IF($G74="Motor",$D$6*$W74/(BB74^2),$W74/$D$6)*($AW74*$F74-$AV74*SIN(ACOS($F74))),-$W74*SIN(ACOS($F74))))+SUMIF(INICIO,$B74,R_IM),0))</f>
      </c>
      <c r="AL74" s="273">
        <f t="shared" si="24"/>
      </c>
      <c r="AM74" s="40">
        <f>IF(B74="","",I74*IF($H$14="Sí",IF(OR($D74="S",$D74="RST"),IF($D$2="Sí",IF($G74="Motor",$D$6*$W74/(BC74^2),$W74/$D$6)*($AX74*$F74+$AY74*SIN(ACOS($F74))),-$W74*$F74/2-SQRT(3)/2*$W74*SIN(ACOS($F74))))+SUMIF(INICIO,$B74,S_RE),0))</f>
      </c>
      <c r="AN74" s="40">
        <f>IF(B74="","",I74*IF($H$14="Sí",IF(OR($D74="S",$D74="RST"),IF($D$2="Sí",IF($G74="Motor",$D$6*$W74/(BC74^2),$W74/$D$6)*($AY74*$F74-$AX74*SIN(ACOS($F74))),-SQRT(3)/2*$W74*$F74+0.5*$W74*SIN(ACOS($F74))))+SUMIF(INICIO,$B74,S_IM),0))</f>
      </c>
      <c r="AO74" s="273">
        <f t="shared" si="25"/>
      </c>
      <c r="AP74" s="40">
        <f>IF(B74="","",I74*IF($I$14="Sí",IF(OR($D74="T",$D74="RST"),IF($D$2="Sí",IF($G74="Motor",$D$6*$W74/(BD74^2),$W74/$D$6)*($AZ74*$F74+$BA74*SIN(ACOS($F74))),-$W74*$F74/2+SQRT(3)/2*$W74*SIN(ACOS($F74))))+SUMIF(INICIO,$B74,T_RE),0))</f>
      </c>
      <c r="AQ74" s="272">
        <f>IF(B74="","",I74*IF($I$14="Sí",IF(OR($D74="T",$D74="RST"),IF($D$2="Sí",IF($G74="Motor",$D$6*$W74/(BD74^2),$W74/$D$6)*($BA74*$F74-$AZ74*SIN(ACOS($F74))),SQRT(3)/2*$W74*$F74+0.5*$W74*SIN(ACOS($F74))))+SUMIF(INICIO,$B74,T_IM),0))</f>
      </c>
      <c r="AR74" s="40">
        <f t="shared" si="26"/>
      </c>
      <c r="AS74" s="40">
        <f t="shared" si="27"/>
      </c>
      <c r="AT74" s="40">
        <f t="shared" si="28"/>
      </c>
      <c r="AU74" s="40">
        <f t="shared" si="29"/>
      </c>
      <c r="AV74" s="73">
        <f t="shared" si="63"/>
      </c>
      <c r="AW74" s="73">
        <f t="shared" si="64"/>
      </c>
      <c r="AX74" s="73">
        <f t="shared" si="65"/>
      </c>
      <c r="AY74" s="73">
        <f t="shared" si="66"/>
      </c>
      <c r="AZ74" s="73">
        <f t="shared" si="67"/>
      </c>
      <c r="BA74" s="73">
        <f t="shared" si="68"/>
      </c>
      <c r="BB74" s="73">
        <f t="shared" si="69"/>
      </c>
      <c r="BC74" s="73">
        <f t="shared" si="70"/>
      </c>
      <c r="BD74" s="73">
        <f t="shared" si="71"/>
      </c>
      <c r="BE74" s="73">
        <f t="shared" si="30"/>
      </c>
      <c r="BF74" s="73">
        <f t="shared" si="31"/>
      </c>
      <c r="BG74" s="73">
        <f t="shared" si="32"/>
      </c>
      <c r="BH74" s="73">
        <f t="shared" si="33"/>
      </c>
      <c r="BI74" s="73">
        <f t="shared" si="96"/>
      </c>
      <c r="BJ74" s="73">
        <f t="shared" si="97"/>
      </c>
      <c r="BK74" s="40">
        <f t="shared" si="72"/>
      </c>
      <c r="BL74" s="40">
        <f t="shared" si="73"/>
      </c>
      <c r="BM74" s="40">
        <f t="shared" si="74"/>
      </c>
      <c r="BN74" s="40">
        <f t="shared" si="34"/>
      </c>
      <c r="BO74" s="40">
        <f t="shared" si="101"/>
      </c>
      <c r="BP74" s="40">
        <f t="shared" si="105"/>
      </c>
      <c r="BQ74" s="40">
        <f t="shared" si="36"/>
      </c>
      <c r="BR74" s="40">
        <f t="shared" si="106"/>
      </c>
      <c r="BS74" s="40">
        <f t="shared" si="75"/>
      </c>
      <c r="BT74" s="40">
        <f t="shared" si="108"/>
      </c>
      <c r="BU74" s="40">
        <f t="shared" si="39"/>
      </c>
      <c r="BV74" s="75">
        <f t="shared" si="40"/>
      </c>
      <c r="BW74" s="75">
        <f t="shared" si="41"/>
      </c>
      <c r="BX74" s="40">
        <f t="shared" si="102"/>
      </c>
      <c r="BY74" s="40">
        <f t="shared" si="103"/>
      </c>
      <c r="BZ74" s="61"/>
      <c r="CA74" s="73">
        <f t="shared" si="43"/>
      </c>
      <c r="CB74" s="84"/>
      <c r="CC74" s="73">
        <f t="shared" si="44"/>
      </c>
      <c r="CD74" s="73">
        <f t="shared" si="85"/>
      </c>
      <c r="CE74" s="73">
        <f t="shared" si="86"/>
      </c>
      <c r="CF74" s="73">
        <f t="shared" si="87"/>
      </c>
      <c r="CG74" s="73">
        <f t="shared" si="48"/>
      </c>
      <c r="CH74" s="73">
        <f t="shared" si="49"/>
      </c>
      <c r="CI74" s="73">
        <f t="shared" si="50"/>
      </c>
      <c r="CJ74" s="76">
        <f t="shared" si="51"/>
      </c>
      <c r="CK74" s="76">
        <f t="shared" si="76"/>
      </c>
      <c r="CL74" s="76">
        <f t="shared" si="77"/>
      </c>
      <c r="CM74" s="76">
        <f t="shared" si="78"/>
      </c>
      <c r="CN74" s="40">
        <f t="shared" si="104"/>
      </c>
      <c r="CO74" s="40">
        <f t="shared" si="88"/>
      </c>
      <c r="CP74" s="40">
        <f t="shared" si="89"/>
      </c>
      <c r="CQ74" s="40">
        <f t="shared" si="90"/>
      </c>
      <c r="CR74" s="40">
        <f t="shared" si="91"/>
      </c>
      <c r="CS74" s="40">
        <f t="shared" si="81"/>
      </c>
      <c r="CT74" s="40">
        <f t="shared" si="55"/>
      </c>
      <c r="CU74" s="40">
        <f t="shared" si="93"/>
      </c>
      <c r="CV74" s="40">
        <f t="shared" si="94"/>
      </c>
      <c r="CW74" s="40">
        <f t="shared" si="95"/>
      </c>
      <c r="CX74" s="40">
        <f t="shared" si="82"/>
      </c>
      <c r="CY74" s="40">
        <f t="shared" si="83"/>
      </c>
      <c r="CZ74" s="40">
        <f t="shared" si="92"/>
      </c>
      <c r="DA74" s="40">
        <f t="shared" si="60"/>
      </c>
    </row>
    <row r="75" spans="1:105" ht="12.75">
      <c r="A75" s="61"/>
      <c r="B75" s="61"/>
      <c r="C75" s="61"/>
      <c r="D75" s="61"/>
      <c r="E75" s="61"/>
      <c r="F75" s="61"/>
      <c r="G75" s="61"/>
      <c r="H75" s="120"/>
      <c r="I75" s="61"/>
      <c r="J75" s="61"/>
      <c r="K75" s="61"/>
      <c r="L75" s="61"/>
      <c r="M75" s="61"/>
      <c r="N75" s="61"/>
      <c r="O75" s="61"/>
      <c r="P75" s="61"/>
      <c r="Q75" s="120"/>
      <c r="R75" s="120"/>
      <c r="S75" s="120"/>
      <c r="T75" s="120"/>
      <c r="U75" s="72">
        <f t="shared" si="84"/>
      </c>
      <c r="V75" s="72">
        <f t="shared" si="12"/>
      </c>
      <c r="W75" s="73">
        <f t="shared" si="13"/>
      </c>
      <c r="X75" s="72">
        <f t="shared" si="14"/>
      </c>
      <c r="Y75" s="72">
        <f t="shared" si="15"/>
      </c>
      <c r="Z75" s="72">
        <f t="shared" si="16"/>
      </c>
      <c r="AA75" s="72">
        <f t="shared" si="17"/>
      </c>
      <c r="AB75" s="72">
        <f t="shared" si="18"/>
      </c>
      <c r="AC75" s="72">
        <f t="shared" si="19"/>
      </c>
      <c r="AD75" s="74">
        <f t="shared" si="100"/>
      </c>
      <c r="AE75" s="73">
        <f t="shared" si="61"/>
      </c>
      <c r="AF75" s="40">
        <f t="shared" si="62"/>
      </c>
      <c r="AG75" s="40">
        <f t="shared" si="98"/>
      </c>
      <c r="AH75" s="40">
        <f t="shared" si="22"/>
      </c>
      <c r="AI75" s="270">
        <f t="shared" si="23"/>
      </c>
      <c r="AJ75" s="40">
        <f>IF($B75="","",I75*IF($G$14="Sí",IF(OR($D75="R",$D75="RST"),IF($D$2="Sí",IF($G75="Motor",$D$6*$W75/(BB75^2),$W75/$D$6)*($AV75*$F75+$AW75*SIN(ACOS($F75))),$W75*$F75))+SUMIF(INICIO,$B75,R_RE),0))</f>
      </c>
      <c r="AK75" s="40">
        <f>IF(B75="","",I75*IF($G$14="Sí",IF(OR($D75="R",$D75="RST"),IF($D$2="Sí",IF($G75="Motor",$D$6*$W75/(BB75^2),$W75/$D$6)*($AW75*$F75-$AV75*SIN(ACOS($F75))),-$W75*SIN(ACOS($F75))))+SUMIF(INICIO,$B75,R_IM),0))</f>
      </c>
      <c r="AL75" s="273">
        <f t="shared" si="24"/>
      </c>
      <c r="AM75" s="40">
        <f>IF(B75="","",I75*IF($H$14="Sí",IF(OR($D75="S",$D75="RST"),IF($D$2="Sí",IF($G75="Motor",$D$6*$W75/(BC75^2),$W75/$D$6)*($AX75*$F75+$AY75*SIN(ACOS($F75))),-$W75*$F75/2-SQRT(3)/2*$W75*SIN(ACOS($F75))))+SUMIF(INICIO,$B75,S_RE),0))</f>
      </c>
      <c r="AN75" s="40">
        <f>IF(B75="","",I75*IF($H$14="Sí",IF(OR($D75="S",$D75="RST"),IF($D$2="Sí",IF($G75="Motor",$D$6*$W75/(BC75^2),$W75/$D$6)*($AY75*$F75-$AX75*SIN(ACOS($F75))),-SQRT(3)/2*$W75*$F75+0.5*$W75*SIN(ACOS($F75))))+SUMIF(INICIO,$B75,S_IM),0))</f>
      </c>
      <c r="AO75" s="273">
        <f t="shared" si="25"/>
      </c>
      <c r="AP75" s="40">
        <f>IF(B75="","",I75*IF($I$14="Sí",IF(OR($D75="T",$D75="RST"),IF($D$2="Sí",IF($G75="Motor",$D$6*$W75/(BD75^2),$W75/$D$6)*($AZ75*$F75+$BA75*SIN(ACOS($F75))),-$W75*$F75/2+SQRT(3)/2*$W75*SIN(ACOS($F75))))+SUMIF(INICIO,$B75,T_RE),0))</f>
      </c>
      <c r="AQ75" s="272">
        <f>IF(B75="","",I75*IF($I$14="Sí",IF(OR($D75="T",$D75="RST"),IF($D$2="Sí",IF($G75="Motor",$D$6*$W75/(BD75^2),$W75/$D$6)*($BA75*$F75-$AZ75*SIN(ACOS($F75))),SQRT(3)/2*$W75*$F75+0.5*$W75*SIN(ACOS($F75))))+SUMIF(INICIO,$B75,T_IM),0))</f>
      </c>
      <c r="AR75" s="40">
        <f t="shared" si="26"/>
      </c>
      <c r="AS75" s="40">
        <f t="shared" si="27"/>
      </c>
      <c r="AT75" s="40">
        <f t="shared" si="28"/>
      </c>
      <c r="AU75" s="40">
        <f t="shared" si="29"/>
      </c>
      <c r="AV75" s="73">
        <f t="shared" si="63"/>
      </c>
      <c r="AW75" s="73">
        <f t="shared" si="64"/>
      </c>
      <c r="AX75" s="73">
        <f t="shared" si="65"/>
      </c>
      <c r="AY75" s="73">
        <f t="shared" si="66"/>
      </c>
      <c r="AZ75" s="73">
        <f t="shared" si="67"/>
      </c>
      <c r="BA75" s="73">
        <f t="shared" si="68"/>
      </c>
      <c r="BB75" s="73">
        <f t="shared" si="69"/>
      </c>
      <c r="BC75" s="73">
        <f t="shared" si="70"/>
      </c>
      <c r="BD75" s="73">
        <f t="shared" si="71"/>
      </c>
      <c r="BE75" s="73">
        <f t="shared" si="30"/>
      </c>
      <c r="BF75" s="73">
        <f t="shared" si="31"/>
      </c>
      <c r="BG75" s="73">
        <f t="shared" si="32"/>
      </c>
      <c r="BH75" s="73">
        <f t="shared" si="33"/>
      </c>
      <c r="BI75" s="73">
        <f t="shared" si="96"/>
      </c>
      <c r="BJ75" s="73">
        <f t="shared" si="97"/>
      </c>
      <c r="BK75" s="40">
        <f t="shared" si="72"/>
      </c>
      <c r="BL75" s="40">
        <f t="shared" si="73"/>
      </c>
      <c r="BM75" s="40">
        <f t="shared" si="74"/>
      </c>
      <c r="BN75" s="40">
        <f t="shared" si="34"/>
      </c>
      <c r="BO75" s="40">
        <f t="shared" si="101"/>
      </c>
      <c r="BP75" s="40">
        <f t="shared" si="105"/>
      </c>
      <c r="BQ75" s="40">
        <f t="shared" si="36"/>
      </c>
      <c r="BR75" s="40">
        <f t="shared" si="106"/>
      </c>
      <c r="BS75" s="40">
        <f t="shared" si="75"/>
      </c>
      <c r="BT75" s="40">
        <f t="shared" si="108"/>
      </c>
      <c r="BU75" s="40">
        <f t="shared" si="39"/>
      </c>
      <c r="BV75" s="75">
        <f t="shared" si="40"/>
      </c>
      <c r="BW75" s="75">
        <f t="shared" si="41"/>
      </c>
      <c r="BX75" s="40">
        <f t="shared" si="102"/>
      </c>
      <c r="BY75" s="40">
        <f t="shared" si="103"/>
      </c>
      <c r="BZ75" s="61"/>
      <c r="CA75" s="73">
        <f t="shared" si="43"/>
      </c>
      <c r="CB75" s="84"/>
      <c r="CC75" s="73">
        <f t="shared" si="44"/>
      </c>
      <c r="CD75" s="73">
        <f t="shared" si="85"/>
      </c>
      <c r="CE75" s="73">
        <f t="shared" si="86"/>
      </c>
      <c r="CF75" s="73">
        <f t="shared" si="87"/>
      </c>
      <c r="CG75" s="73">
        <f t="shared" si="48"/>
      </c>
      <c r="CH75" s="73">
        <f t="shared" si="49"/>
      </c>
      <c r="CI75" s="73">
        <f t="shared" si="50"/>
      </c>
      <c r="CJ75" s="76">
        <f t="shared" si="51"/>
      </c>
      <c r="CK75" s="76">
        <f t="shared" si="76"/>
      </c>
      <c r="CL75" s="76">
        <f t="shared" si="77"/>
      </c>
      <c r="CM75" s="76">
        <f t="shared" si="78"/>
      </c>
      <c r="CN75" s="40">
        <f t="shared" si="104"/>
      </c>
      <c r="CO75" s="40">
        <f t="shared" si="88"/>
      </c>
      <c r="CP75" s="40">
        <f t="shared" si="89"/>
      </c>
      <c r="CQ75" s="40">
        <f t="shared" si="90"/>
      </c>
      <c r="CR75" s="40">
        <f t="shared" si="91"/>
      </c>
      <c r="CS75" s="40">
        <f t="shared" si="81"/>
      </c>
      <c r="CT75" s="40">
        <f t="shared" si="55"/>
      </c>
      <c r="CU75" s="40">
        <f t="shared" si="93"/>
      </c>
      <c r="CV75" s="40">
        <f t="shared" si="94"/>
      </c>
      <c r="CW75" s="40">
        <f t="shared" si="95"/>
      </c>
      <c r="CX75" s="40">
        <f t="shared" si="82"/>
      </c>
      <c r="CY75" s="40">
        <f t="shared" si="83"/>
      </c>
      <c r="CZ75" s="40">
        <f t="shared" si="92"/>
      </c>
      <c r="DA75" s="40">
        <f t="shared" si="60"/>
      </c>
    </row>
    <row r="76" spans="1:105" ht="12.75">
      <c r="A76" s="61"/>
      <c r="B76" s="61"/>
      <c r="C76" s="61"/>
      <c r="D76" s="61"/>
      <c r="E76" s="61"/>
      <c r="F76" s="61"/>
      <c r="G76" s="61"/>
      <c r="H76" s="120"/>
      <c r="I76" s="61"/>
      <c r="J76" s="61"/>
      <c r="K76" s="61"/>
      <c r="L76" s="61"/>
      <c r="M76" s="61"/>
      <c r="N76" s="61"/>
      <c r="O76" s="61"/>
      <c r="P76" s="61"/>
      <c r="Q76" s="120"/>
      <c r="R76" s="120"/>
      <c r="S76" s="120"/>
      <c r="T76" s="120"/>
      <c r="U76" s="72">
        <f t="shared" si="84"/>
      </c>
      <c r="V76" s="72">
        <f t="shared" si="12"/>
      </c>
      <c r="W76" s="73">
        <f t="shared" si="13"/>
      </c>
      <c r="X76" s="72">
        <f t="shared" si="14"/>
      </c>
      <c r="Y76" s="72">
        <f t="shared" si="15"/>
      </c>
      <c r="Z76" s="72">
        <f t="shared" si="16"/>
      </c>
      <c r="AA76" s="72">
        <f t="shared" si="17"/>
      </c>
      <c r="AB76" s="72">
        <f t="shared" si="18"/>
      </c>
      <c r="AC76" s="72">
        <f t="shared" si="19"/>
      </c>
      <c r="AD76" s="74">
        <f t="shared" si="100"/>
      </c>
      <c r="AE76" s="73">
        <f t="shared" si="61"/>
      </c>
      <c r="AF76" s="40">
        <f t="shared" si="62"/>
      </c>
      <c r="AG76" s="40">
        <f t="shared" si="98"/>
      </c>
      <c r="AH76" s="40">
        <f t="shared" si="22"/>
      </c>
      <c r="AI76" s="270">
        <f t="shared" si="23"/>
      </c>
      <c r="AJ76" s="40">
        <f>IF($B76="","",I76*IF($G$14="Sí",IF(OR($D76="R",$D76="RST"),IF($D$2="Sí",IF($G76="Motor",$D$6*$W76/(BB76^2),$W76/$D$6)*($AV76*$F76+$AW76*SIN(ACOS($F76))),$W76*$F76))+SUMIF(INICIO,$B76,R_RE),0))</f>
      </c>
      <c r="AK76" s="40">
        <f>IF(B76="","",I76*IF($G$14="Sí",IF(OR($D76="R",$D76="RST"),IF($D$2="Sí",IF($G76="Motor",$D$6*$W76/(BB76^2),$W76/$D$6)*($AW76*$F76-$AV76*SIN(ACOS($F76))),-$W76*SIN(ACOS($F76))))+SUMIF(INICIO,$B76,R_IM),0))</f>
      </c>
      <c r="AL76" s="273">
        <f t="shared" si="24"/>
      </c>
      <c r="AM76" s="40">
        <f>IF(B76="","",I76*IF($H$14="Sí",IF(OR($D76="S",$D76="RST"),IF($D$2="Sí",IF($G76="Motor",$D$6*$W76/(BC76^2),$W76/$D$6)*($AX76*$F76+$AY76*SIN(ACOS($F76))),-$W76*$F76/2-SQRT(3)/2*$W76*SIN(ACOS($F76))))+SUMIF(INICIO,$B76,S_RE),0))</f>
      </c>
      <c r="AN76" s="40">
        <f>IF(B76="","",I76*IF($H$14="Sí",IF(OR($D76="S",$D76="RST"),IF($D$2="Sí",IF($G76="Motor",$D$6*$W76/(BC76^2),$W76/$D$6)*($AY76*$F76-$AX76*SIN(ACOS($F76))),-SQRT(3)/2*$W76*$F76+0.5*$W76*SIN(ACOS($F76))))+SUMIF(INICIO,$B76,S_IM),0))</f>
      </c>
      <c r="AO76" s="273">
        <f t="shared" si="25"/>
      </c>
      <c r="AP76" s="40">
        <f>IF(B76="","",I76*IF($I$14="Sí",IF(OR($D76="T",$D76="RST"),IF($D$2="Sí",IF($G76="Motor",$D$6*$W76/(BD76^2),$W76/$D$6)*($AZ76*$F76+$BA76*SIN(ACOS($F76))),-$W76*$F76/2+SQRT(3)/2*$W76*SIN(ACOS($F76))))+SUMIF(INICIO,$B76,T_RE),0))</f>
      </c>
      <c r="AQ76" s="272">
        <f>IF(B76="","",I76*IF($I$14="Sí",IF(OR($D76="T",$D76="RST"),IF($D$2="Sí",IF($G76="Motor",$D$6*$W76/(BD76^2),$W76/$D$6)*($BA76*$F76-$AZ76*SIN(ACOS($F76))),SQRT(3)/2*$W76*$F76+0.5*$W76*SIN(ACOS($F76))))+SUMIF(INICIO,$B76,T_IM),0))</f>
      </c>
      <c r="AR76" s="40">
        <f t="shared" si="26"/>
      </c>
      <c r="AS76" s="40">
        <f t="shared" si="27"/>
      </c>
      <c r="AT76" s="40">
        <f t="shared" si="28"/>
      </c>
      <c r="AU76" s="40">
        <f t="shared" si="29"/>
      </c>
      <c r="AV76" s="73">
        <f t="shared" si="63"/>
      </c>
      <c r="AW76" s="73">
        <f t="shared" si="64"/>
      </c>
      <c r="AX76" s="73">
        <f t="shared" si="65"/>
      </c>
      <c r="AY76" s="73">
        <f t="shared" si="66"/>
      </c>
      <c r="AZ76" s="73">
        <f t="shared" si="67"/>
      </c>
      <c r="BA76" s="73">
        <f t="shared" si="68"/>
      </c>
      <c r="BB76" s="73">
        <f t="shared" si="69"/>
      </c>
      <c r="BC76" s="73">
        <f t="shared" si="70"/>
      </c>
      <c r="BD76" s="73">
        <f t="shared" si="71"/>
      </c>
      <c r="BE76" s="73">
        <f t="shared" si="30"/>
      </c>
      <c r="BF76" s="73">
        <f t="shared" si="31"/>
      </c>
      <c r="BG76" s="73">
        <f t="shared" si="32"/>
      </c>
      <c r="BH76" s="73">
        <f t="shared" si="33"/>
      </c>
      <c r="BI76" s="73">
        <f t="shared" si="96"/>
      </c>
      <c r="BJ76" s="73">
        <f t="shared" si="97"/>
      </c>
      <c r="BK76" s="40">
        <f t="shared" si="72"/>
      </c>
      <c r="BL76" s="40">
        <f t="shared" si="73"/>
      </c>
      <c r="BM76" s="40">
        <f t="shared" si="74"/>
      </c>
      <c r="BN76" s="40">
        <f t="shared" si="34"/>
      </c>
      <c r="BO76" s="40">
        <f t="shared" si="101"/>
      </c>
      <c r="BP76" s="40">
        <f t="shared" si="105"/>
      </c>
      <c r="BQ76" s="40">
        <f t="shared" si="36"/>
      </c>
      <c r="BR76" s="40">
        <f t="shared" si="106"/>
      </c>
      <c r="BS76" s="40">
        <f t="shared" si="75"/>
      </c>
      <c r="BT76" s="40">
        <f t="shared" si="108"/>
      </c>
      <c r="BU76" s="40">
        <f t="shared" si="39"/>
      </c>
      <c r="BV76" s="75">
        <f t="shared" si="40"/>
      </c>
      <c r="BW76" s="75">
        <f t="shared" si="41"/>
      </c>
      <c r="BX76" s="40">
        <f t="shared" si="102"/>
      </c>
      <c r="BY76" s="40">
        <f t="shared" si="103"/>
      </c>
      <c r="BZ76" s="61"/>
      <c r="CA76" s="73">
        <f t="shared" si="43"/>
      </c>
      <c r="CB76" s="84"/>
      <c r="CC76" s="73">
        <f t="shared" si="44"/>
      </c>
      <c r="CD76" s="73">
        <f t="shared" si="85"/>
      </c>
      <c r="CE76" s="73">
        <f t="shared" si="86"/>
      </c>
      <c r="CF76" s="73">
        <f t="shared" si="87"/>
      </c>
      <c r="CG76" s="73">
        <f t="shared" si="48"/>
      </c>
      <c r="CH76" s="73">
        <f t="shared" si="49"/>
      </c>
      <c r="CI76" s="73">
        <f t="shared" si="50"/>
      </c>
      <c r="CJ76" s="76">
        <f t="shared" si="51"/>
      </c>
      <c r="CK76" s="76">
        <f t="shared" si="76"/>
      </c>
      <c r="CL76" s="76">
        <f t="shared" si="77"/>
      </c>
      <c r="CM76" s="76">
        <f t="shared" si="78"/>
      </c>
      <c r="CN76" s="40">
        <f t="shared" si="104"/>
      </c>
      <c r="CO76" s="40">
        <f t="shared" si="88"/>
      </c>
      <c r="CP76" s="40">
        <f t="shared" si="89"/>
      </c>
      <c r="CQ76" s="40">
        <f t="shared" si="90"/>
      </c>
      <c r="CR76" s="40">
        <f t="shared" si="91"/>
      </c>
      <c r="CS76" s="40">
        <f t="shared" si="81"/>
      </c>
      <c r="CT76" s="40">
        <f t="shared" si="55"/>
      </c>
      <c r="CU76" s="40">
        <f t="shared" si="93"/>
      </c>
      <c r="CV76" s="40">
        <f t="shared" si="94"/>
      </c>
      <c r="CW76" s="40">
        <f t="shared" si="95"/>
      </c>
      <c r="CX76" s="40">
        <f t="shared" si="82"/>
      </c>
      <c r="CY76" s="40">
        <f t="shared" si="83"/>
      </c>
      <c r="CZ76" s="40">
        <f t="shared" si="92"/>
      </c>
      <c r="DA76" s="40">
        <f t="shared" si="60"/>
      </c>
    </row>
    <row r="77" spans="1:105" ht="12.75">
      <c r="A77" s="61"/>
      <c r="B77" s="61"/>
      <c r="C77" s="61"/>
      <c r="D77" s="61"/>
      <c r="E77" s="61"/>
      <c r="F77" s="61"/>
      <c r="G77" s="61"/>
      <c r="H77" s="120"/>
      <c r="I77" s="61"/>
      <c r="J77" s="61"/>
      <c r="K77" s="61"/>
      <c r="L77" s="61"/>
      <c r="M77" s="61"/>
      <c r="N77" s="61"/>
      <c r="O77" s="61"/>
      <c r="P77" s="61"/>
      <c r="Q77" s="120"/>
      <c r="R77" s="120"/>
      <c r="S77" s="120"/>
      <c r="T77" s="120"/>
      <c r="U77" s="72">
        <f t="shared" si="84"/>
      </c>
      <c r="V77" s="72">
        <f t="shared" si="12"/>
      </c>
      <c r="W77" s="73">
        <f t="shared" si="13"/>
      </c>
      <c r="X77" s="72">
        <f t="shared" si="14"/>
      </c>
      <c r="Y77" s="72">
        <f t="shared" si="15"/>
      </c>
      <c r="Z77" s="72">
        <f t="shared" si="16"/>
      </c>
      <c r="AA77" s="72">
        <f t="shared" si="17"/>
      </c>
      <c r="AB77" s="72">
        <f t="shared" si="18"/>
      </c>
      <c r="AC77" s="72">
        <f t="shared" si="19"/>
      </c>
      <c r="AD77" s="74">
        <f t="shared" si="100"/>
      </c>
      <c r="AE77" s="73">
        <f t="shared" si="61"/>
      </c>
      <c r="AF77" s="40">
        <f t="shared" si="62"/>
      </c>
      <c r="AG77" s="40">
        <f t="shared" si="98"/>
      </c>
      <c r="AH77" s="40">
        <f t="shared" si="22"/>
      </c>
      <c r="AI77" s="270">
        <f t="shared" si="23"/>
      </c>
      <c r="AJ77" s="40">
        <f>IF($B77="","",I77*IF($G$14="Sí",IF(OR($D77="R",$D77="RST"),IF($D$2="Sí",IF($G77="Motor",$D$6*$W77/(BB77^2),$W77/$D$6)*($AV77*$F77+$AW77*SIN(ACOS($F77))),$W77*$F77))+SUMIF(INICIO,$B77,R_RE),0))</f>
      </c>
      <c r="AK77" s="40">
        <f>IF(B77="","",I77*IF($G$14="Sí",IF(OR($D77="R",$D77="RST"),IF($D$2="Sí",IF($G77="Motor",$D$6*$W77/(BB77^2),$W77/$D$6)*($AW77*$F77-$AV77*SIN(ACOS($F77))),-$W77*SIN(ACOS($F77))))+SUMIF(INICIO,$B77,R_IM),0))</f>
      </c>
      <c r="AL77" s="273">
        <f t="shared" si="24"/>
      </c>
      <c r="AM77" s="40">
        <f>IF(B77="","",I77*IF($H$14="Sí",IF(OR($D77="S",$D77="RST"),IF($D$2="Sí",IF($G77="Motor",$D$6*$W77/(BC77^2),$W77/$D$6)*($AX77*$F77+$AY77*SIN(ACOS($F77))),-$W77*$F77/2-SQRT(3)/2*$W77*SIN(ACOS($F77))))+SUMIF(INICIO,$B77,S_RE),0))</f>
      </c>
      <c r="AN77" s="40">
        <f>IF(B77="","",I77*IF($H$14="Sí",IF(OR($D77="S",$D77="RST"),IF($D$2="Sí",IF($G77="Motor",$D$6*$W77/(BC77^2),$W77/$D$6)*($AY77*$F77-$AX77*SIN(ACOS($F77))),-SQRT(3)/2*$W77*$F77+0.5*$W77*SIN(ACOS($F77))))+SUMIF(INICIO,$B77,S_IM),0))</f>
      </c>
      <c r="AO77" s="273">
        <f t="shared" si="25"/>
      </c>
      <c r="AP77" s="40">
        <f>IF(B77="","",I77*IF($I$14="Sí",IF(OR($D77="T",$D77="RST"),IF($D$2="Sí",IF($G77="Motor",$D$6*$W77/(BD77^2),$W77/$D$6)*($AZ77*$F77+$BA77*SIN(ACOS($F77))),-$W77*$F77/2+SQRT(3)/2*$W77*SIN(ACOS($F77))))+SUMIF(INICIO,$B77,T_RE),0))</f>
      </c>
      <c r="AQ77" s="272">
        <f>IF(B77="","",I77*IF($I$14="Sí",IF(OR($D77="T",$D77="RST"),IF($D$2="Sí",IF($G77="Motor",$D$6*$W77/(BD77^2),$W77/$D$6)*($BA77*$F77-$AZ77*SIN(ACOS($F77))),SQRT(3)/2*$W77*$F77+0.5*$W77*SIN(ACOS($F77))))+SUMIF(INICIO,$B77,T_IM),0))</f>
      </c>
      <c r="AR77" s="40">
        <f t="shared" si="26"/>
      </c>
      <c r="AS77" s="40">
        <f t="shared" si="27"/>
      </c>
      <c r="AT77" s="40">
        <f t="shared" si="28"/>
      </c>
      <c r="AU77" s="40">
        <f t="shared" si="29"/>
      </c>
      <c r="AV77" s="73">
        <f t="shared" si="63"/>
      </c>
      <c r="AW77" s="73">
        <f t="shared" si="64"/>
      </c>
      <c r="AX77" s="73">
        <f t="shared" si="65"/>
      </c>
      <c r="AY77" s="73">
        <f t="shared" si="66"/>
      </c>
      <c r="AZ77" s="73">
        <f t="shared" si="67"/>
      </c>
      <c r="BA77" s="73">
        <f t="shared" si="68"/>
      </c>
      <c r="BB77" s="73">
        <f t="shared" si="69"/>
      </c>
      <c r="BC77" s="73">
        <f t="shared" si="70"/>
      </c>
      <c r="BD77" s="73">
        <f t="shared" si="71"/>
      </c>
      <c r="BE77" s="73">
        <f t="shared" si="30"/>
      </c>
      <c r="BF77" s="73">
        <f t="shared" si="31"/>
      </c>
      <c r="BG77" s="73">
        <f t="shared" si="32"/>
      </c>
      <c r="BH77" s="73">
        <f t="shared" si="33"/>
      </c>
      <c r="BI77" s="73">
        <f t="shared" si="96"/>
      </c>
      <c r="BJ77" s="73">
        <f t="shared" si="97"/>
      </c>
      <c r="BK77" s="40">
        <f t="shared" si="72"/>
      </c>
      <c r="BL77" s="40">
        <f t="shared" si="73"/>
      </c>
      <c r="BM77" s="40">
        <f t="shared" si="74"/>
      </c>
      <c r="BN77" s="40">
        <f t="shared" si="34"/>
      </c>
      <c r="BO77" s="40">
        <f t="shared" si="101"/>
      </c>
      <c r="BP77" s="40">
        <f t="shared" si="105"/>
      </c>
      <c r="BQ77" s="40">
        <f t="shared" si="36"/>
      </c>
      <c r="BR77" s="40">
        <f t="shared" si="106"/>
      </c>
      <c r="BS77" s="40">
        <f t="shared" si="75"/>
      </c>
      <c r="BT77" s="40">
        <f t="shared" si="108"/>
      </c>
      <c r="BU77" s="40">
        <f t="shared" si="39"/>
      </c>
      <c r="BV77" s="75">
        <f t="shared" si="40"/>
      </c>
      <c r="BW77" s="75">
        <f t="shared" si="41"/>
      </c>
      <c r="BX77" s="40">
        <f t="shared" si="102"/>
      </c>
      <c r="BY77" s="40">
        <f t="shared" si="103"/>
      </c>
      <c r="BZ77" s="61"/>
      <c r="CA77" s="73">
        <f t="shared" si="43"/>
      </c>
      <c r="CB77" s="84"/>
      <c r="CC77" s="73">
        <f t="shared" si="44"/>
      </c>
      <c r="CD77" s="73">
        <f t="shared" si="85"/>
      </c>
      <c r="CE77" s="73">
        <f t="shared" si="86"/>
      </c>
      <c r="CF77" s="73">
        <f t="shared" si="87"/>
      </c>
      <c r="CG77" s="73">
        <f t="shared" si="48"/>
      </c>
      <c r="CH77" s="73">
        <f t="shared" si="49"/>
      </c>
      <c r="CI77" s="73">
        <f t="shared" si="50"/>
      </c>
      <c r="CJ77" s="76">
        <f t="shared" si="51"/>
      </c>
      <c r="CK77" s="76">
        <f t="shared" si="76"/>
      </c>
      <c r="CL77" s="76">
        <f t="shared" si="77"/>
      </c>
      <c r="CM77" s="76">
        <f t="shared" si="78"/>
      </c>
      <c r="CN77" s="40">
        <f t="shared" si="104"/>
      </c>
      <c r="CO77" s="40">
        <f t="shared" si="88"/>
      </c>
      <c r="CP77" s="40">
        <f t="shared" si="89"/>
      </c>
      <c r="CQ77" s="40">
        <f t="shared" si="90"/>
      </c>
      <c r="CR77" s="40">
        <f t="shared" si="91"/>
      </c>
      <c r="CS77" s="40">
        <f t="shared" si="81"/>
      </c>
      <c r="CT77" s="40">
        <f t="shared" si="55"/>
      </c>
      <c r="CU77" s="40">
        <f t="shared" si="93"/>
      </c>
      <c r="CV77" s="40">
        <f t="shared" si="94"/>
      </c>
      <c r="CW77" s="40">
        <f t="shared" si="95"/>
      </c>
      <c r="CX77" s="40">
        <f t="shared" si="82"/>
      </c>
      <c r="CY77" s="40">
        <f t="shared" si="83"/>
      </c>
      <c r="CZ77" s="40">
        <f t="shared" si="92"/>
      </c>
      <c r="DA77" s="40">
        <f t="shared" si="60"/>
      </c>
    </row>
    <row r="78" spans="1:105" ht="12.75">
      <c r="A78" s="61"/>
      <c r="B78" s="61"/>
      <c r="C78" s="61"/>
      <c r="D78" s="61"/>
      <c r="E78" s="61"/>
      <c r="F78" s="61"/>
      <c r="G78" s="61"/>
      <c r="H78" s="120"/>
      <c r="I78" s="61"/>
      <c r="J78" s="61"/>
      <c r="K78" s="61"/>
      <c r="L78" s="61"/>
      <c r="M78" s="61"/>
      <c r="N78" s="61"/>
      <c r="O78" s="61"/>
      <c r="P78" s="61"/>
      <c r="Q78" s="120"/>
      <c r="R78" s="120"/>
      <c r="S78" s="120"/>
      <c r="T78" s="120"/>
      <c r="U78" s="72">
        <f t="shared" si="84"/>
      </c>
      <c r="V78" s="72">
        <f t="shared" si="12"/>
      </c>
      <c r="W78" s="73">
        <f t="shared" si="13"/>
      </c>
      <c r="X78" s="72">
        <f t="shared" si="14"/>
      </c>
      <c r="Y78" s="72">
        <f t="shared" si="15"/>
      </c>
      <c r="Z78" s="72">
        <f t="shared" si="16"/>
      </c>
      <c r="AA78" s="72">
        <f t="shared" si="17"/>
      </c>
      <c r="AB78" s="72">
        <f t="shared" si="18"/>
      </c>
      <c r="AC78" s="72">
        <f t="shared" si="19"/>
      </c>
      <c r="AD78" s="74">
        <f t="shared" si="100"/>
      </c>
      <c r="AE78" s="73">
        <f t="shared" si="61"/>
      </c>
      <c r="AF78" s="40">
        <f t="shared" si="62"/>
      </c>
      <c r="AG78" s="40">
        <f t="shared" si="98"/>
      </c>
      <c r="AH78" s="40">
        <f t="shared" si="22"/>
      </c>
      <c r="AI78" s="270">
        <f t="shared" si="23"/>
      </c>
      <c r="AJ78" s="40">
        <f>IF($B78="","",I78*IF($G$14="Sí",IF(OR($D78="R",$D78="RST"),IF($D$2="Sí",IF($G78="Motor",$D$6*$W78/(BB78^2),$W78/$D$6)*($AV78*$F78+$AW78*SIN(ACOS($F78))),$W78*$F78))+SUMIF(INICIO,$B78,R_RE),0))</f>
      </c>
      <c r="AK78" s="40">
        <f>IF(B78="","",I78*IF($G$14="Sí",IF(OR($D78="R",$D78="RST"),IF($D$2="Sí",IF($G78="Motor",$D$6*$W78/(BB78^2),$W78/$D$6)*($AW78*$F78-$AV78*SIN(ACOS($F78))),-$W78*SIN(ACOS($F78))))+SUMIF(INICIO,$B78,R_IM),0))</f>
      </c>
      <c r="AL78" s="273">
        <f t="shared" si="24"/>
      </c>
      <c r="AM78" s="40">
        <f>IF(B78="","",I78*IF($H$14="Sí",IF(OR($D78="S",$D78="RST"),IF($D$2="Sí",IF($G78="Motor",$D$6*$W78/(BC78^2),$W78/$D$6)*($AX78*$F78+$AY78*SIN(ACOS($F78))),-$W78*$F78/2-SQRT(3)/2*$W78*SIN(ACOS($F78))))+SUMIF(INICIO,$B78,S_RE),0))</f>
      </c>
      <c r="AN78" s="40">
        <f>IF(B78="","",I78*IF($H$14="Sí",IF(OR($D78="S",$D78="RST"),IF($D$2="Sí",IF($G78="Motor",$D$6*$W78/(BC78^2),$W78/$D$6)*($AY78*$F78-$AX78*SIN(ACOS($F78))),-SQRT(3)/2*$W78*$F78+0.5*$W78*SIN(ACOS($F78))))+SUMIF(INICIO,$B78,S_IM),0))</f>
      </c>
      <c r="AO78" s="273">
        <f t="shared" si="25"/>
      </c>
      <c r="AP78" s="40">
        <f>IF(B78="","",I78*IF($I$14="Sí",IF(OR($D78="T",$D78="RST"),IF($D$2="Sí",IF($G78="Motor",$D$6*$W78/(BD78^2),$W78/$D$6)*($AZ78*$F78+$BA78*SIN(ACOS($F78))),-$W78*$F78/2+SQRT(3)/2*$W78*SIN(ACOS($F78))))+SUMIF(INICIO,$B78,T_RE),0))</f>
      </c>
      <c r="AQ78" s="272">
        <f>IF(B78="","",I78*IF($I$14="Sí",IF(OR($D78="T",$D78="RST"),IF($D$2="Sí",IF($G78="Motor",$D$6*$W78/(BD78^2),$W78/$D$6)*($BA78*$F78-$AZ78*SIN(ACOS($F78))),SQRT(3)/2*$W78*$F78+0.5*$W78*SIN(ACOS($F78))))+SUMIF(INICIO,$B78,T_IM),0))</f>
      </c>
      <c r="AR78" s="40">
        <f t="shared" si="26"/>
      </c>
      <c r="AS78" s="40">
        <f t="shared" si="27"/>
      </c>
      <c r="AT78" s="40">
        <f t="shared" si="28"/>
      </c>
      <c r="AU78" s="40">
        <f t="shared" si="29"/>
      </c>
      <c r="AV78" s="73">
        <f t="shared" si="63"/>
      </c>
      <c r="AW78" s="73">
        <f t="shared" si="64"/>
      </c>
      <c r="AX78" s="73">
        <f t="shared" si="65"/>
      </c>
      <c r="AY78" s="73">
        <f t="shared" si="66"/>
      </c>
      <c r="AZ78" s="73">
        <f t="shared" si="67"/>
      </c>
      <c r="BA78" s="73">
        <f t="shared" si="68"/>
      </c>
      <c r="BB78" s="73">
        <f t="shared" si="69"/>
      </c>
      <c r="BC78" s="73">
        <f t="shared" si="70"/>
      </c>
      <c r="BD78" s="73">
        <f t="shared" si="71"/>
      </c>
      <c r="BE78" s="73">
        <f t="shared" si="30"/>
      </c>
      <c r="BF78" s="73">
        <f t="shared" si="31"/>
      </c>
      <c r="BG78" s="73">
        <f t="shared" si="32"/>
      </c>
      <c r="BH78" s="73">
        <f t="shared" si="33"/>
      </c>
      <c r="BI78" s="73">
        <f t="shared" si="96"/>
      </c>
      <c r="BJ78" s="73">
        <f t="shared" si="97"/>
      </c>
      <c r="BK78" s="40">
        <f t="shared" si="72"/>
      </c>
      <c r="BL78" s="40">
        <f t="shared" si="73"/>
      </c>
      <c r="BM78" s="40">
        <f t="shared" si="74"/>
      </c>
      <c r="BN78" s="40">
        <f t="shared" si="34"/>
      </c>
      <c r="BO78" s="40">
        <f t="shared" si="101"/>
      </c>
      <c r="BP78" s="40">
        <f t="shared" si="105"/>
      </c>
      <c r="BQ78" s="40">
        <f t="shared" si="36"/>
      </c>
      <c r="BR78" s="40">
        <f t="shared" si="106"/>
      </c>
      <c r="BS78" s="40">
        <f t="shared" si="75"/>
      </c>
      <c r="BT78" s="40">
        <f t="shared" si="108"/>
      </c>
      <c r="BU78" s="40">
        <f t="shared" si="39"/>
      </c>
      <c r="BV78" s="75">
        <f t="shared" si="40"/>
      </c>
      <c r="BW78" s="75">
        <f t="shared" si="41"/>
      </c>
      <c r="BX78" s="40">
        <f t="shared" si="102"/>
      </c>
      <c r="BY78" s="40">
        <f t="shared" si="103"/>
      </c>
      <c r="BZ78" s="61"/>
      <c r="CA78" s="73">
        <f t="shared" si="43"/>
      </c>
      <c r="CB78" s="84"/>
      <c r="CC78" s="73">
        <f t="shared" si="44"/>
      </c>
      <c r="CD78" s="73">
        <f t="shared" si="85"/>
      </c>
      <c r="CE78" s="73">
        <f t="shared" si="86"/>
      </c>
      <c r="CF78" s="73">
        <f t="shared" si="87"/>
      </c>
      <c r="CG78" s="73">
        <f t="shared" si="48"/>
      </c>
      <c r="CH78" s="73">
        <f t="shared" si="49"/>
      </c>
      <c r="CI78" s="73">
        <f t="shared" si="50"/>
      </c>
      <c r="CJ78" s="76">
        <f t="shared" si="51"/>
      </c>
      <c r="CK78" s="76">
        <f t="shared" si="76"/>
      </c>
      <c r="CL78" s="76">
        <f t="shared" si="77"/>
      </c>
      <c r="CM78" s="76">
        <f t="shared" si="78"/>
      </c>
      <c r="CN78" s="40">
        <f t="shared" si="104"/>
      </c>
      <c r="CO78" s="40">
        <f t="shared" si="88"/>
      </c>
      <c r="CP78" s="40">
        <f t="shared" si="89"/>
      </c>
      <c r="CQ78" s="40">
        <f t="shared" si="90"/>
      </c>
      <c r="CR78" s="40">
        <f t="shared" si="91"/>
      </c>
      <c r="CS78" s="40">
        <f t="shared" si="81"/>
      </c>
      <c r="CT78" s="40">
        <f t="shared" si="55"/>
      </c>
      <c r="CU78" s="40">
        <f t="shared" si="93"/>
      </c>
      <c r="CV78" s="40">
        <f t="shared" si="94"/>
      </c>
      <c r="CW78" s="40">
        <f t="shared" si="95"/>
      </c>
      <c r="CX78" s="40">
        <f t="shared" si="82"/>
      </c>
      <c r="CY78" s="40">
        <f t="shared" si="83"/>
      </c>
      <c r="CZ78" s="40">
        <f t="shared" si="92"/>
      </c>
      <c r="DA78" s="40">
        <f t="shared" si="60"/>
      </c>
    </row>
    <row r="79" spans="1:105" ht="12.75">
      <c r="A79" s="61"/>
      <c r="B79" s="61"/>
      <c r="C79" s="61"/>
      <c r="D79" s="61"/>
      <c r="E79" s="61"/>
      <c r="F79" s="61"/>
      <c r="G79" s="61"/>
      <c r="H79" s="120"/>
      <c r="I79" s="61"/>
      <c r="J79" s="61"/>
      <c r="K79" s="61"/>
      <c r="L79" s="61"/>
      <c r="M79" s="61"/>
      <c r="N79" s="61"/>
      <c r="O79" s="61"/>
      <c r="P79" s="61"/>
      <c r="Q79" s="120"/>
      <c r="R79" s="120"/>
      <c r="S79" s="120"/>
      <c r="T79" s="120"/>
      <c r="U79" s="72">
        <f t="shared" si="84"/>
      </c>
      <c r="V79" s="72">
        <f t="shared" si="12"/>
      </c>
      <c r="W79" s="73">
        <f t="shared" si="13"/>
      </c>
      <c r="X79" s="72">
        <f t="shared" si="14"/>
      </c>
      <c r="Y79" s="72">
        <f t="shared" si="15"/>
      </c>
      <c r="Z79" s="72">
        <f t="shared" si="16"/>
      </c>
      <c r="AA79" s="72">
        <f t="shared" si="17"/>
      </c>
      <c r="AB79" s="72">
        <f t="shared" si="18"/>
      </c>
      <c r="AC79" s="72">
        <f t="shared" si="19"/>
      </c>
      <c r="AD79" s="74">
        <f t="shared" si="100"/>
      </c>
      <c r="AE79" s="73">
        <f t="shared" si="61"/>
      </c>
      <c r="AF79" s="40">
        <f t="shared" si="62"/>
      </c>
      <c r="AG79" s="40">
        <f t="shared" si="98"/>
      </c>
      <c r="AH79" s="40">
        <f t="shared" si="22"/>
      </c>
      <c r="AI79" s="270">
        <f t="shared" si="23"/>
      </c>
      <c r="AJ79" s="40">
        <f>IF($B79="","",I79*IF($G$14="Sí",IF(OR($D79="R",$D79="RST"),IF($D$2="Sí",IF($G79="Motor",$D$6*$W79/(BB79^2),$W79/$D$6)*($AV79*$F79+$AW79*SIN(ACOS($F79))),$W79*$F79))+SUMIF(INICIO,$B79,R_RE),0))</f>
      </c>
      <c r="AK79" s="40">
        <f>IF(B79="","",I79*IF($G$14="Sí",IF(OR($D79="R",$D79="RST"),IF($D$2="Sí",IF($G79="Motor",$D$6*$W79/(BB79^2),$W79/$D$6)*($AW79*$F79-$AV79*SIN(ACOS($F79))),-$W79*SIN(ACOS($F79))))+SUMIF(INICIO,$B79,R_IM),0))</f>
      </c>
      <c r="AL79" s="273">
        <f t="shared" si="24"/>
      </c>
      <c r="AM79" s="40">
        <f>IF(B79="","",I79*IF($H$14="Sí",IF(OR($D79="S",$D79="RST"),IF($D$2="Sí",IF($G79="Motor",$D$6*$W79/(BC79^2),$W79/$D$6)*($AX79*$F79+$AY79*SIN(ACOS($F79))),-$W79*$F79/2-SQRT(3)/2*$W79*SIN(ACOS($F79))))+SUMIF(INICIO,$B79,S_RE),0))</f>
      </c>
      <c r="AN79" s="40">
        <f>IF(B79="","",I79*IF($H$14="Sí",IF(OR($D79="S",$D79="RST"),IF($D$2="Sí",IF($G79="Motor",$D$6*$W79/(BC79^2),$W79/$D$6)*($AY79*$F79-$AX79*SIN(ACOS($F79))),-SQRT(3)/2*$W79*$F79+0.5*$W79*SIN(ACOS($F79))))+SUMIF(INICIO,$B79,S_IM),0))</f>
      </c>
      <c r="AO79" s="273">
        <f t="shared" si="25"/>
      </c>
      <c r="AP79" s="40">
        <f>IF(B79="","",I79*IF($I$14="Sí",IF(OR($D79="T",$D79="RST"),IF($D$2="Sí",IF($G79="Motor",$D$6*$W79/(BD79^2),$W79/$D$6)*($AZ79*$F79+$BA79*SIN(ACOS($F79))),-$W79*$F79/2+SQRT(3)/2*$W79*SIN(ACOS($F79))))+SUMIF(INICIO,$B79,T_RE),0))</f>
      </c>
      <c r="AQ79" s="272">
        <f>IF(B79="","",I79*IF($I$14="Sí",IF(OR($D79="T",$D79="RST"),IF($D$2="Sí",IF($G79="Motor",$D$6*$W79/(BD79^2),$W79/$D$6)*($BA79*$F79-$AZ79*SIN(ACOS($F79))),SQRT(3)/2*$W79*$F79+0.5*$W79*SIN(ACOS($F79))))+SUMIF(INICIO,$B79,T_IM),0))</f>
      </c>
      <c r="AR79" s="40">
        <f t="shared" si="26"/>
      </c>
      <c r="AS79" s="40">
        <f t="shared" si="27"/>
      </c>
      <c r="AT79" s="40">
        <f t="shared" si="28"/>
      </c>
      <c r="AU79" s="40">
        <f t="shared" si="29"/>
      </c>
      <c r="AV79" s="73">
        <f t="shared" si="63"/>
      </c>
      <c r="AW79" s="73">
        <f t="shared" si="64"/>
      </c>
      <c r="AX79" s="73">
        <f t="shared" si="65"/>
      </c>
      <c r="AY79" s="73">
        <f t="shared" si="66"/>
      </c>
      <c r="AZ79" s="73">
        <f t="shared" si="67"/>
      </c>
      <c r="BA79" s="73">
        <f t="shared" si="68"/>
      </c>
      <c r="BB79" s="73">
        <f t="shared" si="69"/>
      </c>
      <c r="BC79" s="73">
        <f t="shared" si="70"/>
      </c>
      <c r="BD79" s="73">
        <f t="shared" si="71"/>
      </c>
      <c r="BE79" s="73">
        <f t="shared" si="30"/>
      </c>
      <c r="BF79" s="73">
        <f t="shared" si="31"/>
      </c>
      <c r="BG79" s="73">
        <f t="shared" si="32"/>
      </c>
      <c r="BH79" s="73">
        <f t="shared" si="33"/>
      </c>
      <c r="BI79" s="73">
        <f t="shared" si="96"/>
      </c>
      <c r="BJ79" s="73">
        <f t="shared" si="97"/>
      </c>
      <c r="BK79" s="40">
        <f t="shared" si="72"/>
      </c>
      <c r="BL79" s="40">
        <f t="shared" si="73"/>
      </c>
      <c r="BM79" s="40">
        <f t="shared" si="74"/>
      </c>
      <c r="BN79" s="40">
        <f t="shared" si="34"/>
      </c>
      <c r="BO79" s="40">
        <f t="shared" si="101"/>
      </c>
      <c r="BP79" s="40">
        <f t="shared" si="105"/>
      </c>
      <c r="BQ79" s="40">
        <f t="shared" si="36"/>
      </c>
      <c r="BR79" s="40">
        <f t="shared" si="106"/>
      </c>
      <c r="BS79" s="40">
        <f t="shared" si="75"/>
      </c>
      <c r="BT79" s="40">
        <f t="shared" si="108"/>
      </c>
      <c r="BU79" s="40">
        <f t="shared" si="39"/>
      </c>
      <c r="BV79" s="75">
        <f t="shared" si="40"/>
      </c>
      <c r="BW79" s="75">
        <f t="shared" si="41"/>
      </c>
      <c r="BX79" s="40">
        <f t="shared" si="102"/>
      </c>
      <c r="BY79" s="40">
        <f t="shared" si="103"/>
      </c>
      <c r="BZ79" s="61"/>
      <c r="CA79" s="73">
        <f t="shared" si="43"/>
      </c>
      <c r="CB79" s="84"/>
      <c r="CC79" s="73">
        <f t="shared" si="44"/>
      </c>
      <c r="CD79" s="73">
        <f t="shared" si="85"/>
      </c>
      <c r="CE79" s="73">
        <f t="shared" si="86"/>
      </c>
      <c r="CF79" s="73">
        <f t="shared" si="87"/>
      </c>
      <c r="CG79" s="73">
        <f t="shared" si="48"/>
      </c>
      <c r="CH79" s="73">
        <f t="shared" si="49"/>
      </c>
      <c r="CI79" s="73">
        <f t="shared" si="50"/>
      </c>
      <c r="CJ79" s="76">
        <f t="shared" si="51"/>
      </c>
      <c r="CK79" s="76">
        <f t="shared" si="76"/>
      </c>
      <c r="CL79" s="76">
        <f t="shared" si="77"/>
      </c>
      <c r="CM79" s="76">
        <f t="shared" si="78"/>
      </c>
      <c r="CN79" s="40">
        <f t="shared" si="104"/>
      </c>
      <c r="CO79" s="40">
        <f t="shared" si="88"/>
      </c>
      <c r="CP79" s="40">
        <f t="shared" si="89"/>
      </c>
      <c r="CQ79" s="40">
        <f t="shared" si="90"/>
      </c>
      <c r="CR79" s="40">
        <f t="shared" si="91"/>
      </c>
      <c r="CS79" s="40">
        <f t="shared" si="81"/>
      </c>
      <c r="CT79" s="40">
        <f t="shared" si="55"/>
      </c>
      <c r="CU79" s="40">
        <f t="shared" si="93"/>
      </c>
      <c r="CV79" s="40">
        <f t="shared" si="94"/>
      </c>
      <c r="CW79" s="40">
        <f t="shared" si="95"/>
      </c>
      <c r="CX79" s="40">
        <f t="shared" si="82"/>
      </c>
      <c r="CY79" s="40">
        <f t="shared" si="83"/>
      </c>
      <c r="CZ79" s="40">
        <f t="shared" si="92"/>
      </c>
      <c r="DA79" s="40">
        <f t="shared" si="60"/>
      </c>
    </row>
    <row r="80" spans="1:105" ht="12.75">
      <c r="A80" s="61"/>
      <c r="B80" s="61"/>
      <c r="C80" s="61"/>
      <c r="D80" s="61"/>
      <c r="E80" s="61"/>
      <c r="F80" s="61"/>
      <c r="G80" s="61"/>
      <c r="H80" s="120"/>
      <c r="I80" s="61"/>
      <c r="J80" s="61"/>
      <c r="K80" s="61"/>
      <c r="L80" s="61"/>
      <c r="M80" s="61"/>
      <c r="N80" s="61"/>
      <c r="O80" s="61"/>
      <c r="P80" s="61"/>
      <c r="Q80" s="120"/>
      <c r="R80" s="120"/>
      <c r="S80" s="120"/>
      <c r="T80" s="120"/>
      <c r="U80" s="72">
        <f t="shared" si="84"/>
      </c>
      <c r="V80" s="72">
        <f t="shared" si="12"/>
      </c>
      <c r="W80" s="73">
        <f t="shared" si="13"/>
      </c>
      <c r="X80" s="72">
        <f t="shared" si="14"/>
      </c>
      <c r="Y80" s="72">
        <f t="shared" si="15"/>
      </c>
      <c r="Z80" s="72">
        <f t="shared" si="16"/>
      </c>
      <c r="AA80" s="72">
        <f t="shared" si="17"/>
      </c>
      <c r="AB80" s="72">
        <f t="shared" si="18"/>
      </c>
      <c r="AC80" s="72">
        <f t="shared" si="19"/>
      </c>
      <c r="AD80" s="74">
        <f t="shared" si="100"/>
      </c>
      <c r="AE80" s="73">
        <f t="shared" si="61"/>
      </c>
      <c r="AF80" s="40">
        <f t="shared" si="62"/>
      </c>
      <c r="AG80" s="40">
        <f t="shared" si="98"/>
      </c>
      <c r="AH80" s="40">
        <f t="shared" si="22"/>
      </c>
      <c r="AI80" s="270">
        <f t="shared" si="23"/>
      </c>
      <c r="AJ80" s="40">
        <f>IF($B80="","",I80*IF($G$14="Sí",IF(OR($D80="R",$D80="RST"),IF($D$2="Sí",IF($G80="Motor",$D$6*$W80/(BB80^2),$W80/$D$6)*($AV80*$F80+$AW80*SIN(ACOS($F80))),$W80*$F80))+SUMIF(INICIO,$B80,R_RE),0))</f>
      </c>
      <c r="AK80" s="40">
        <f>IF(B80="","",I80*IF($G$14="Sí",IF(OR($D80="R",$D80="RST"),IF($D$2="Sí",IF($G80="Motor",$D$6*$W80/(BB80^2),$W80/$D$6)*($AW80*$F80-$AV80*SIN(ACOS($F80))),-$W80*SIN(ACOS($F80))))+SUMIF(INICIO,$B80,R_IM),0))</f>
      </c>
      <c r="AL80" s="273">
        <f t="shared" si="24"/>
      </c>
      <c r="AM80" s="40">
        <f>IF(B80="","",I80*IF($H$14="Sí",IF(OR($D80="S",$D80="RST"),IF($D$2="Sí",IF($G80="Motor",$D$6*$W80/(BC80^2),$W80/$D$6)*($AX80*$F80+$AY80*SIN(ACOS($F80))),-$W80*$F80/2-SQRT(3)/2*$W80*SIN(ACOS($F80))))+SUMIF(INICIO,$B80,S_RE),0))</f>
      </c>
      <c r="AN80" s="40">
        <f>IF(B80="","",I80*IF($H$14="Sí",IF(OR($D80="S",$D80="RST"),IF($D$2="Sí",IF($G80="Motor",$D$6*$W80/(BC80^2),$W80/$D$6)*($AY80*$F80-$AX80*SIN(ACOS($F80))),-SQRT(3)/2*$W80*$F80+0.5*$W80*SIN(ACOS($F80))))+SUMIF(INICIO,$B80,S_IM),0))</f>
      </c>
      <c r="AO80" s="273">
        <f t="shared" si="25"/>
      </c>
      <c r="AP80" s="40">
        <f>IF(B80="","",I80*IF($I$14="Sí",IF(OR($D80="T",$D80="RST"),IF($D$2="Sí",IF($G80="Motor",$D$6*$W80/(BD80^2),$W80/$D$6)*($AZ80*$F80+$BA80*SIN(ACOS($F80))),-$W80*$F80/2+SQRT(3)/2*$W80*SIN(ACOS($F80))))+SUMIF(INICIO,$B80,T_RE),0))</f>
      </c>
      <c r="AQ80" s="272">
        <f>IF(B80="","",I80*IF($I$14="Sí",IF(OR($D80="T",$D80="RST"),IF($D$2="Sí",IF($G80="Motor",$D$6*$W80/(BD80^2),$W80/$D$6)*($BA80*$F80-$AZ80*SIN(ACOS($F80))),SQRT(3)/2*$W80*$F80+0.5*$W80*SIN(ACOS($F80))))+SUMIF(INICIO,$B80,T_IM),0))</f>
      </c>
      <c r="AR80" s="40">
        <f t="shared" si="26"/>
      </c>
      <c r="AS80" s="40">
        <f t="shared" si="27"/>
      </c>
      <c r="AT80" s="40">
        <f t="shared" si="28"/>
      </c>
      <c r="AU80" s="40">
        <f t="shared" si="29"/>
      </c>
      <c r="AV80" s="73">
        <f t="shared" si="63"/>
      </c>
      <c r="AW80" s="73">
        <f t="shared" si="64"/>
      </c>
      <c r="AX80" s="73">
        <f t="shared" si="65"/>
      </c>
      <c r="AY80" s="73">
        <f t="shared" si="66"/>
      </c>
      <c r="AZ80" s="73">
        <f t="shared" si="67"/>
      </c>
      <c r="BA80" s="73">
        <f t="shared" si="68"/>
      </c>
      <c r="BB80" s="73">
        <f t="shared" si="69"/>
      </c>
      <c r="BC80" s="73">
        <f t="shared" si="70"/>
      </c>
      <c r="BD80" s="73">
        <f t="shared" si="71"/>
      </c>
      <c r="BE80" s="73">
        <f t="shared" si="30"/>
      </c>
      <c r="BF80" s="73">
        <f t="shared" si="31"/>
      </c>
      <c r="BG80" s="73">
        <f t="shared" si="32"/>
      </c>
      <c r="BH80" s="73">
        <f t="shared" si="33"/>
      </c>
      <c r="BI80" s="73">
        <f t="shared" si="96"/>
      </c>
      <c r="BJ80" s="73">
        <f t="shared" si="97"/>
      </c>
      <c r="BK80" s="40">
        <f t="shared" si="72"/>
      </c>
      <c r="BL80" s="40">
        <f>IF(B80="","",BK80-CC80+1.25*CC80)</f>
      </c>
      <c r="BM80" s="40">
        <f t="shared" si="74"/>
      </c>
      <c r="BN80" s="40">
        <f t="shared" si="34"/>
      </c>
      <c r="BO80" s="40">
        <f t="shared" si="101"/>
      </c>
      <c r="BP80" s="40">
        <f t="shared" si="105"/>
      </c>
      <c r="BQ80" s="40">
        <f t="shared" si="36"/>
      </c>
      <c r="BR80" s="40">
        <f t="shared" si="106"/>
      </c>
      <c r="BS80" s="40">
        <f t="shared" si="75"/>
      </c>
      <c r="BT80" s="40">
        <f t="shared" si="108"/>
      </c>
      <c r="BU80" s="40">
        <f t="shared" si="39"/>
      </c>
      <c r="BV80" s="75">
        <f t="shared" si="40"/>
      </c>
      <c r="BW80" s="75">
        <f t="shared" si="41"/>
      </c>
      <c r="BX80" s="40">
        <f t="shared" si="102"/>
      </c>
      <c r="BY80" s="40">
        <f t="shared" si="103"/>
      </c>
      <c r="BZ80" s="61"/>
      <c r="CA80" s="73">
        <f t="shared" si="43"/>
      </c>
      <c r="CB80" s="84"/>
      <c r="CC80" s="73">
        <f aca="true" t="shared" si="109" ref="CC80:CC88">IF(FINAL="","",SUMIF(FINAL,$H80,I_nom_A))</f>
      </c>
      <c r="CD80" s="73">
        <f t="shared" si="85"/>
      </c>
      <c r="CE80" s="73">
        <f t="shared" si="86"/>
      </c>
      <c r="CF80" s="73">
        <f t="shared" si="87"/>
      </c>
      <c r="CG80" s="73">
        <f t="shared" si="48"/>
      </c>
      <c r="CH80" s="73">
        <f t="shared" si="49"/>
      </c>
      <c r="CI80" s="73">
        <f t="shared" si="50"/>
      </c>
      <c r="CJ80" s="76">
        <f t="shared" si="51"/>
      </c>
      <c r="CK80" s="76">
        <f t="shared" si="76"/>
      </c>
      <c r="CL80" s="76">
        <f t="shared" si="77"/>
      </c>
      <c r="CM80" s="76">
        <f t="shared" si="78"/>
      </c>
      <c r="CN80" s="40">
        <f t="shared" si="104"/>
      </c>
      <c r="CO80" s="40">
        <f t="shared" si="88"/>
      </c>
      <c r="CP80" s="40">
        <f t="shared" si="89"/>
      </c>
      <c r="CQ80" s="40">
        <f t="shared" si="90"/>
      </c>
      <c r="CR80" s="40">
        <f t="shared" si="91"/>
      </c>
      <c r="CS80" s="40">
        <f t="shared" si="81"/>
      </c>
      <c r="CT80" s="40">
        <f t="shared" si="55"/>
      </c>
      <c r="CU80" s="40">
        <f t="shared" si="93"/>
      </c>
      <c r="CV80" s="40">
        <f t="shared" si="94"/>
      </c>
      <c r="CW80" s="40">
        <f t="shared" si="95"/>
      </c>
      <c r="CX80" s="40">
        <f t="shared" si="82"/>
      </c>
      <c r="CY80" s="40">
        <f t="shared" si="83"/>
      </c>
      <c r="CZ80" s="40">
        <f>IF($B80="","",I80*IF($I$14="Sí",IF(OR($D80="T",$D80="RST"),$W80*F80)+SUMIF(INICIO,$B80,IT_cosfi),0))</f>
      </c>
      <c r="DA80" s="40">
        <f t="shared" si="60"/>
      </c>
    </row>
    <row r="81" spans="1:105" ht="12.75">
      <c r="A81" s="61"/>
      <c r="B81" s="61"/>
      <c r="C81" s="61"/>
      <c r="D81" s="61"/>
      <c r="E81" s="61"/>
      <c r="F81" s="61"/>
      <c r="G81" s="61"/>
      <c r="H81" s="120"/>
      <c r="I81" s="61"/>
      <c r="J81" s="61"/>
      <c r="K81" s="61"/>
      <c r="L81" s="61"/>
      <c r="M81" s="61"/>
      <c r="N81" s="61"/>
      <c r="O81" s="61"/>
      <c r="P81" s="61"/>
      <c r="Q81" s="120"/>
      <c r="R81" s="120"/>
      <c r="S81" s="120"/>
      <c r="T81" s="120"/>
      <c r="U81" s="72">
        <f t="shared" si="84"/>
      </c>
      <c r="V81" s="72">
        <f t="shared" si="12"/>
      </c>
      <c r="W81" s="73">
        <f t="shared" si="13"/>
      </c>
      <c r="X81" s="72">
        <f t="shared" si="14"/>
      </c>
      <c r="Y81" s="72">
        <f t="shared" si="15"/>
      </c>
      <c r="Z81" s="72">
        <f t="shared" si="16"/>
      </c>
      <c r="AA81" s="72">
        <f t="shared" si="17"/>
      </c>
      <c r="AB81" s="72">
        <f t="shared" si="18"/>
      </c>
      <c r="AC81" s="72">
        <f t="shared" si="19"/>
      </c>
      <c r="AD81" s="74">
        <f t="shared" si="100"/>
      </c>
      <c r="AE81" s="73">
        <f t="shared" si="61"/>
      </c>
      <c r="AF81" s="40">
        <f t="shared" si="62"/>
      </c>
      <c r="AG81" s="40">
        <f t="shared" si="98"/>
      </c>
      <c r="AH81" s="40">
        <f t="shared" si="22"/>
      </c>
      <c r="AI81" s="270">
        <f t="shared" si="23"/>
      </c>
      <c r="AJ81" s="40">
        <f>IF($B81="","",I81*IF($G$14="Sí",IF(OR($D81="R",$D81="RST"),IF($D$2="Sí",IF($G81="Motor",$D$6*$W81/(BB81^2),$W81/$D$6)*($AV81*$F81+$AW81*SIN(ACOS($F81))),$W81*$F81))+SUMIF(INICIO,$B81,R_RE),0))</f>
      </c>
      <c r="AK81" s="40">
        <f>IF(B81="","",I81*IF($G$14="Sí",IF(OR($D81="R",$D81="RST"),IF($D$2="Sí",IF($G81="Motor",$D$6*$W81/(BB81^2),$W81/$D$6)*($AW81*$F81-$AV81*SIN(ACOS($F81))),-$W81*SIN(ACOS($F81))))+SUMIF(INICIO,$B81,R_IM),0))</f>
      </c>
      <c r="AL81" s="273">
        <f t="shared" si="24"/>
      </c>
      <c r="AM81" s="40">
        <f>IF(B81="","",I81*IF($H$14="Sí",IF(OR($D81="S",$D81="RST"),IF($D$2="Sí",IF($G81="Motor",$D$6*$W81/(BC81^2),$W81/$D$6)*($AX81*$F81+$AY81*SIN(ACOS($F81))),-$W81*$F81/2-SQRT(3)/2*$W81*SIN(ACOS($F81))))+SUMIF(INICIO,$B81,S_RE),0))</f>
      </c>
      <c r="AN81" s="40">
        <f>IF(B81="","",I81*IF($H$14="Sí",IF(OR($D81="S",$D81="RST"),IF($D$2="Sí",IF($G81="Motor",$D$6*$W81/(BC81^2),$W81/$D$6)*($AY81*$F81-$AX81*SIN(ACOS($F81))),-SQRT(3)/2*$W81*$F81+0.5*$W81*SIN(ACOS($F81))))+SUMIF(INICIO,$B81,S_IM),0))</f>
      </c>
      <c r="AO81" s="273">
        <f t="shared" si="25"/>
      </c>
      <c r="AP81" s="40">
        <f>IF(B81="","",I81*IF($I$14="Sí",IF(OR($D81="T",$D81="RST"),IF($D$2="Sí",IF($G81="Motor",$D$6*$W81/(BD81^2),$W81/$D$6)*($AZ81*$F81+$BA81*SIN(ACOS($F81))),-$W81*$F81/2+SQRT(3)/2*$W81*SIN(ACOS($F81))))+SUMIF(INICIO,$B81,T_RE),0))</f>
      </c>
      <c r="AQ81" s="272">
        <f>IF(B81="","",I81*IF($I$14="Sí",IF(OR($D81="T",$D81="RST"),IF($D$2="Sí",IF($G81="Motor",$D$6*$W81/(BD81^2),$W81/$D$6)*($BA81*$F81-$AZ81*SIN(ACOS($F81))),SQRT(3)/2*$W81*$F81+0.5*$W81*SIN(ACOS($F81))))+SUMIF(INICIO,$B81,T_IM),0))</f>
      </c>
      <c r="AR81" s="40">
        <f t="shared" si="26"/>
      </c>
      <c r="AS81" s="40">
        <f t="shared" si="27"/>
      </c>
      <c r="AT81" s="40">
        <f t="shared" si="28"/>
      </c>
      <c r="AU81" s="40">
        <f t="shared" si="29"/>
      </c>
      <c r="AV81" s="73">
        <f t="shared" si="63"/>
      </c>
      <c r="AW81" s="73">
        <f t="shared" si="64"/>
      </c>
      <c r="AX81" s="73">
        <f t="shared" si="65"/>
      </c>
      <c r="AY81" s="73">
        <f t="shared" si="66"/>
      </c>
      <c r="AZ81" s="73">
        <f t="shared" si="67"/>
      </c>
      <c r="BA81" s="73">
        <f t="shared" si="68"/>
      </c>
      <c r="BB81" s="73">
        <f t="shared" si="69"/>
      </c>
      <c r="BC81" s="73">
        <f t="shared" si="70"/>
      </c>
      <c r="BD81" s="73">
        <f t="shared" si="71"/>
      </c>
      <c r="BE81" s="73">
        <f t="shared" si="30"/>
      </c>
      <c r="BF81" s="73">
        <f t="shared" si="31"/>
      </c>
      <c r="BG81" s="73">
        <f t="shared" si="32"/>
      </c>
      <c r="BH81" s="73">
        <f t="shared" si="33"/>
      </c>
      <c r="BI81" s="73">
        <f t="shared" si="96"/>
      </c>
      <c r="BJ81" s="73">
        <f t="shared" si="97"/>
      </c>
      <c r="BK81" s="40">
        <f t="shared" si="72"/>
      </c>
      <c r="BL81" s="40">
        <f t="shared" si="73"/>
      </c>
      <c r="BM81" s="40">
        <f t="shared" si="74"/>
      </c>
      <c r="BN81" s="40">
        <f t="shared" si="34"/>
      </c>
      <c r="BO81" s="40">
        <f t="shared" si="101"/>
      </c>
      <c r="BP81" s="40">
        <f t="shared" si="105"/>
      </c>
      <c r="BQ81" s="40">
        <f t="shared" si="36"/>
      </c>
      <c r="BR81" s="40">
        <f t="shared" si="106"/>
      </c>
      <c r="BS81" s="40">
        <f t="shared" si="75"/>
      </c>
      <c r="BT81" s="40">
        <f t="shared" si="108"/>
      </c>
      <c r="BU81" s="40">
        <f t="shared" si="39"/>
      </c>
      <c r="BV81" s="75">
        <f t="shared" si="40"/>
      </c>
      <c r="BW81" s="75">
        <f t="shared" si="41"/>
      </c>
      <c r="BX81" s="40">
        <f t="shared" si="102"/>
      </c>
      <c r="BY81" s="40">
        <f t="shared" si="103"/>
      </c>
      <c r="BZ81" s="61"/>
      <c r="CA81" s="73">
        <f t="shared" si="43"/>
      </c>
      <c r="CB81" s="84"/>
      <c r="CC81" s="73">
        <f t="shared" si="109"/>
      </c>
      <c r="CD81" s="73">
        <f t="shared" si="85"/>
      </c>
      <c r="CE81" s="73">
        <f t="shared" si="86"/>
      </c>
      <c r="CF81" s="73">
        <f t="shared" si="87"/>
      </c>
      <c r="CG81" s="73">
        <f t="shared" si="48"/>
      </c>
      <c r="CH81" s="73">
        <f t="shared" si="49"/>
      </c>
      <c r="CI81" s="73">
        <f t="shared" si="50"/>
      </c>
      <c r="CJ81" s="76">
        <f t="shared" si="51"/>
      </c>
      <c r="CK81" s="76">
        <f t="shared" si="76"/>
      </c>
      <c r="CL81" s="76">
        <f t="shared" si="77"/>
      </c>
      <c r="CM81" s="76">
        <f t="shared" si="78"/>
      </c>
      <c r="CN81" s="40">
        <f t="shared" si="104"/>
      </c>
      <c r="CO81" s="40">
        <f t="shared" si="88"/>
      </c>
      <c r="CP81" s="40">
        <f t="shared" si="89"/>
      </c>
      <c r="CQ81" s="40">
        <f t="shared" si="90"/>
      </c>
      <c r="CR81" s="40">
        <f t="shared" si="91"/>
      </c>
      <c r="CS81" s="40">
        <f t="shared" si="81"/>
      </c>
      <c r="CT81" s="40">
        <f t="shared" si="55"/>
      </c>
      <c r="CU81" s="40">
        <f t="shared" si="93"/>
      </c>
      <c r="CV81" s="40">
        <f t="shared" si="94"/>
      </c>
      <c r="CW81" s="40">
        <f t="shared" si="95"/>
      </c>
      <c r="CX81" s="40">
        <f t="shared" si="82"/>
      </c>
      <c r="CY81" s="40">
        <f t="shared" si="83"/>
      </c>
      <c r="CZ81" s="40">
        <f t="shared" si="92"/>
      </c>
      <c r="DA81" s="40">
        <f t="shared" si="60"/>
      </c>
    </row>
    <row r="82" spans="1:105" ht="12.75">
      <c r="A82" s="61"/>
      <c r="B82" s="61"/>
      <c r="C82" s="61"/>
      <c r="D82" s="61"/>
      <c r="E82" s="61"/>
      <c r="F82" s="61"/>
      <c r="G82" s="61"/>
      <c r="H82" s="120"/>
      <c r="I82" s="61"/>
      <c r="J82" s="61"/>
      <c r="K82" s="61"/>
      <c r="L82" s="61"/>
      <c r="M82" s="61"/>
      <c r="N82" s="61"/>
      <c r="O82" s="61"/>
      <c r="P82" s="61"/>
      <c r="Q82" s="120"/>
      <c r="R82" s="120"/>
      <c r="S82" s="120"/>
      <c r="T82" s="120"/>
      <c r="U82" s="72">
        <f t="shared" si="84"/>
      </c>
      <c r="V82" s="72">
        <f t="shared" si="12"/>
      </c>
      <c r="W82" s="73">
        <f t="shared" si="13"/>
      </c>
      <c r="X82" s="72">
        <f t="shared" si="14"/>
      </c>
      <c r="Y82" s="72">
        <f t="shared" si="15"/>
      </c>
      <c r="Z82" s="72">
        <f t="shared" si="16"/>
      </c>
      <c r="AA82" s="72">
        <f t="shared" si="17"/>
      </c>
      <c r="AB82" s="72">
        <f t="shared" si="18"/>
      </c>
      <c r="AC82" s="72">
        <f t="shared" si="19"/>
      </c>
      <c r="AD82" s="74">
        <f t="shared" si="100"/>
      </c>
      <c r="AE82" s="73">
        <f t="shared" si="61"/>
      </c>
      <c r="AF82" s="40">
        <f t="shared" si="62"/>
      </c>
      <c r="AG82" s="40">
        <f t="shared" si="98"/>
      </c>
      <c r="AH82" s="40">
        <f t="shared" si="22"/>
      </c>
      <c r="AI82" s="270">
        <f t="shared" si="23"/>
      </c>
      <c r="AJ82" s="40">
        <f>IF($B82="","",I82*IF($G$14="Sí",IF(OR($D82="R",$D82="RST"),IF($D$2="Sí",IF($G82="Motor",$D$6*$W82/(BB82^2),$W82/$D$6)*($AV82*$F82+$AW82*SIN(ACOS($F82))),$W82*$F82))+SUMIF(INICIO,$B82,R_RE),0))</f>
      </c>
      <c r="AK82" s="40">
        <f>IF(B82="","",I82*IF($G$14="Sí",IF(OR($D82="R",$D82="RST"),IF($D$2="Sí",IF($G82="Motor",$D$6*$W82/(BB82^2),$W82/$D$6)*($AW82*$F82-$AV82*SIN(ACOS($F82))),-$W82*SIN(ACOS($F82))))+SUMIF(INICIO,$B82,R_IM),0))</f>
      </c>
      <c r="AL82" s="273">
        <f t="shared" si="24"/>
      </c>
      <c r="AM82" s="40">
        <f>IF(B82="","",I82*IF($H$14="Sí",IF(OR($D82="S",$D82="RST"),IF($D$2="Sí",IF($G82="Motor",$D$6*$W82/(BC82^2),$W82/$D$6)*($AX82*$F82+$AY82*SIN(ACOS($F82))),-$W82*$F82/2-SQRT(3)/2*$W82*SIN(ACOS($F82))))+SUMIF(INICIO,$B82,S_RE),0))</f>
      </c>
      <c r="AN82" s="40">
        <f>IF(B82="","",I82*IF($H$14="Sí",IF(OR($D82="S",$D82="RST"),IF($D$2="Sí",IF($G82="Motor",$D$6*$W82/(BC82^2),$W82/$D$6)*($AY82*$F82-$AX82*SIN(ACOS($F82))),-SQRT(3)/2*$W82*$F82+0.5*$W82*SIN(ACOS($F82))))+SUMIF(INICIO,$B82,S_IM),0))</f>
      </c>
      <c r="AO82" s="273">
        <f t="shared" si="25"/>
      </c>
      <c r="AP82" s="40">
        <f>IF(B82="","",I82*IF($I$14="Sí",IF(OR($D82="T",$D82="RST"),IF($D$2="Sí",IF($G82="Motor",$D$6*$W82/(BD82^2),$W82/$D$6)*($AZ82*$F82+$BA82*SIN(ACOS($F82))),-$W82*$F82/2+SQRT(3)/2*$W82*SIN(ACOS($F82))))+SUMIF(INICIO,$B82,T_RE),0))</f>
      </c>
      <c r="AQ82" s="272">
        <f>IF(B82="","",I82*IF($I$14="Sí",IF(OR($D82="T",$D82="RST"),IF($D$2="Sí",IF($G82="Motor",$D$6*$W82/(BD82^2),$W82/$D$6)*($BA82*$F82-$AZ82*SIN(ACOS($F82))),SQRT(3)/2*$W82*$F82+0.5*$W82*SIN(ACOS($F82))))+SUMIF(INICIO,$B82,T_IM),0))</f>
      </c>
      <c r="AR82" s="40">
        <f t="shared" si="26"/>
      </c>
      <c r="AS82" s="40">
        <f t="shared" si="27"/>
      </c>
      <c r="AT82" s="40">
        <f t="shared" si="28"/>
      </c>
      <c r="AU82" s="40">
        <f t="shared" si="29"/>
      </c>
      <c r="AV82" s="73">
        <f t="shared" si="63"/>
      </c>
      <c r="AW82" s="73">
        <f t="shared" si="64"/>
      </c>
      <c r="AX82" s="73">
        <f t="shared" si="65"/>
      </c>
      <c r="AY82" s="73">
        <f t="shared" si="66"/>
      </c>
      <c r="AZ82" s="73">
        <f t="shared" si="67"/>
      </c>
      <c r="BA82" s="73">
        <f t="shared" si="68"/>
      </c>
      <c r="BB82" s="73">
        <f t="shared" si="69"/>
      </c>
      <c r="BC82" s="73">
        <f t="shared" si="70"/>
      </c>
      <c r="BD82" s="73">
        <f t="shared" si="71"/>
      </c>
      <c r="BE82" s="73">
        <f t="shared" si="30"/>
      </c>
      <c r="BF82" s="73">
        <f t="shared" si="31"/>
      </c>
      <c r="BG82" s="73">
        <f t="shared" si="32"/>
      </c>
      <c r="BH82" s="73">
        <f t="shared" si="33"/>
      </c>
      <c r="BI82" s="73">
        <f t="shared" si="96"/>
      </c>
      <c r="BJ82" s="73">
        <f t="shared" si="97"/>
      </c>
      <c r="BK82" s="40">
        <f>IF(B82="","",I82*(W82+SUMIF(INICIO,$B82,I_tramo)))</f>
      </c>
      <c r="BL82" s="40">
        <f t="shared" si="73"/>
      </c>
      <c r="BM82" s="40">
        <f t="shared" si="74"/>
      </c>
      <c r="BN82" s="40">
        <f t="shared" si="34"/>
      </c>
      <c r="BO82" s="40">
        <f t="shared" si="101"/>
      </c>
      <c r="BP82" s="40">
        <f t="shared" si="105"/>
      </c>
      <c r="BQ82" s="40">
        <f t="shared" si="36"/>
      </c>
      <c r="BR82" s="40">
        <f t="shared" si="106"/>
      </c>
      <c r="BS82" s="40">
        <f t="shared" si="75"/>
      </c>
      <c r="BT82" s="40">
        <f t="shared" si="108"/>
      </c>
      <c r="BU82" s="40">
        <f t="shared" si="39"/>
      </c>
      <c r="BV82" s="75">
        <f t="shared" si="40"/>
      </c>
      <c r="BW82" s="75">
        <f t="shared" si="41"/>
      </c>
      <c r="BX82" s="40">
        <f t="shared" si="102"/>
      </c>
      <c r="BY82" s="40">
        <f t="shared" si="103"/>
      </c>
      <c r="BZ82" s="61"/>
      <c r="CA82" s="73">
        <f t="shared" si="43"/>
      </c>
      <c r="CB82" s="84"/>
      <c r="CC82" s="73">
        <f t="shared" si="109"/>
      </c>
      <c r="CD82" s="73">
        <f t="shared" si="85"/>
      </c>
      <c r="CE82" s="73">
        <f t="shared" si="86"/>
      </c>
      <c r="CF82" s="73">
        <f t="shared" si="87"/>
      </c>
      <c r="CG82" s="73">
        <f t="shared" si="48"/>
      </c>
      <c r="CH82" s="73">
        <f t="shared" si="49"/>
      </c>
      <c r="CI82" s="73">
        <f t="shared" si="50"/>
      </c>
      <c r="CJ82" s="76">
        <f t="shared" si="51"/>
      </c>
      <c r="CK82" s="76">
        <f t="shared" si="76"/>
      </c>
      <c r="CL82" s="76">
        <f t="shared" si="77"/>
      </c>
      <c r="CM82" s="76">
        <f t="shared" si="78"/>
      </c>
      <c r="CN82" s="40">
        <f t="shared" si="104"/>
      </c>
      <c r="CO82" s="40">
        <f t="shared" si="88"/>
      </c>
      <c r="CP82" s="40">
        <f t="shared" si="89"/>
      </c>
      <c r="CQ82" s="40">
        <f t="shared" si="90"/>
      </c>
      <c r="CR82" s="40">
        <f t="shared" si="91"/>
      </c>
      <c r="CS82" s="40">
        <f t="shared" si="81"/>
      </c>
      <c r="CT82" s="40">
        <f t="shared" si="55"/>
      </c>
      <c r="CU82" s="40">
        <f t="shared" si="93"/>
      </c>
      <c r="CV82" s="40">
        <f t="shared" si="94"/>
      </c>
      <c r="CW82" s="40">
        <f t="shared" si="95"/>
      </c>
      <c r="CX82" s="40">
        <f t="shared" si="82"/>
      </c>
      <c r="CY82" s="40">
        <f t="shared" si="83"/>
      </c>
      <c r="CZ82" s="40">
        <f t="shared" si="92"/>
      </c>
      <c r="DA82" s="40">
        <f t="shared" si="60"/>
      </c>
    </row>
    <row r="83" spans="1:105" ht="12.75">
      <c r="A83" s="54"/>
      <c r="B83" s="54"/>
      <c r="C83" s="54"/>
      <c r="D83" s="61"/>
      <c r="E83" s="54"/>
      <c r="F83" s="54"/>
      <c r="G83" s="61"/>
      <c r="H83" s="64"/>
      <c r="I83" s="54"/>
      <c r="J83" s="61"/>
      <c r="K83" s="61"/>
      <c r="L83" s="54"/>
      <c r="M83" s="61"/>
      <c r="N83" s="61"/>
      <c r="O83" s="61"/>
      <c r="P83" s="61"/>
      <c r="Q83" s="120"/>
      <c r="R83" s="120"/>
      <c r="S83" s="120"/>
      <c r="T83" s="120"/>
      <c r="U83" s="72">
        <f t="shared" si="84"/>
      </c>
      <c r="V83" s="72">
        <f t="shared" si="12"/>
      </c>
      <c r="W83" s="73">
        <f t="shared" si="13"/>
      </c>
      <c r="X83" s="72">
        <f t="shared" si="14"/>
      </c>
      <c r="Y83" s="72">
        <f t="shared" si="15"/>
      </c>
      <c r="Z83" s="72">
        <f t="shared" si="16"/>
      </c>
      <c r="AA83" s="72">
        <f t="shared" si="17"/>
      </c>
      <c r="AB83" s="72">
        <f t="shared" si="18"/>
      </c>
      <c r="AC83" s="72">
        <f t="shared" si="19"/>
      </c>
      <c r="AD83" s="74">
        <f t="shared" si="100"/>
      </c>
      <c r="AE83" s="73">
        <f t="shared" si="61"/>
      </c>
      <c r="AF83" s="40">
        <f t="shared" si="62"/>
      </c>
      <c r="AG83" s="40">
        <f t="shared" si="98"/>
      </c>
      <c r="AH83" s="40">
        <f t="shared" si="22"/>
      </c>
      <c r="AI83" s="270">
        <f t="shared" si="23"/>
      </c>
      <c r="AJ83" s="40">
        <f>IF($B83="","",I83*IF($G$14="Sí",IF(OR($D83="R",$D83="RST"),IF($D$2="Sí",IF($G83="Motor",$D$6*$W83/(BB83^2),$W83/$D$6)*($AV83*$F83+$AW83*SIN(ACOS($F83))),$W83*$F83))+SUMIF(INICIO,$B83,R_RE),0))</f>
      </c>
      <c r="AK83" s="40">
        <f>IF(B83="","",I83*IF($G$14="Sí",IF(OR($D83="R",$D83="RST"),IF($D$2="Sí",IF($G83="Motor",$D$6*$W83/(BB83^2),$W83/$D$6)*($AW83*$F83-$AV83*SIN(ACOS($F83))),-$W83*SIN(ACOS($F83))))+SUMIF(INICIO,$B83,R_IM),0))</f>
      </c>
      <c r="AL83" s="273">
        <f t="shared" si="24"/>
      </c>
      <c r="AM83" s="40">
        <f>IF(B83="","",I83*IF($H$14="Sí",IF(OR($D83="S",$D83="RST"),IF($D$2="Sí",IF($G83="Motor",$D$6*$W83/(BC83^2),$W83/$D$6)*($AX83*$F83+$AY83*SIN(ACOS($F83))),-$W83*$F83/2-SQRT(3)/2*$W83*SIN(ACOS($F83))))+SUMIF(INICIO,$B83,S_RE),0))</f>
      </c>
      <c r="AN83" s="40">
        <f>IF(B83="","",I83*IF($H$14="Sí",IF(OR($D83="S",$D83="RST"),IF($D$2="Sí",IF($G83="Motor",$D$6*$W83/(BC83^2),$W83/$D$6)*($AY83*$F83-$AX83*SIN(ACOS($F83))),-SQRT(3)/2*$W83*$F83+0.5*$W83*SIN(ACOS($F83))))+SUMIF(INICIO,$B83,S_IM),0))</f>
      </c>
      <c r="AO83" s="273">
        <f t="shared" si="25"/>
      </c>
      <c r="AP83" s="40">
        <f>IF(B83="","",I83*IF($I$14="Sí",IF(OR($D83="T",$D83="RST"),IF($D$2="Sí",IF($G83="Motor",$D$6*$W83/(BD83^2),$W83/$D$6)*($AZ83*$F83+$BA83*SIN(ACOS($F83))),-$W83*$F83/2+SQRT(3)/2*$W83*SIN(ACOS($F83))))+SUMIF(INICIO,$B83,T_RE),0))</f>
      </c>
      <c r="AQ83" s="272">
        <f>IF(B83="","",I83*IF($I$14="Sí",IF(OR($D83="T",$D83="RST"),IF($D$2="Sí",IF($G83="Motor",$D$6*$W83/(BD83^2),$W83/$D$6)*($BA83*$F83-$AZ83*SIN(ACOS($F83))),SQRT(3)/2*$W83*$F83+0.5*$W83*SIN(ACOS($F83))))+SUMIF(INICIO,$B83,T_IM),0))</f>
      </c>
      <c r="AR83" s="40">
        <f t="shared" si="26"/>
      </c>
      <c r="AS83" s="40">
        <f t="shared" si="27"/>
      </c>
      <c r="AT83" s="40">
        <f t="shared" si="28"/>
      </c>
      <c r="AU83" s="40">
        <f t="shared" si="29"/>
      </c>
      <c r="AV83" s="73">
        <f t="shared" si="63"/>
      </c>
      <c r="AW83" s="73">
        <f t="shared" si="64"/>
      </c>
      <c r="AX83" s="73">
        <f t="shared" si="65"/>
      </c>
      <c r="AY83" s="73">
        <f t="shared" si="66"/>
      </c>
      <c r="AZ83" s="73">
        <f t="shared" si="67"/>
      </c>
      <c r="BA83" s="73">
        <f t="shared" si="68"/>
      </c>
      <c r="BB83" s="73">
        <f t="shared" si="69"/>
      </c>
      <c r="BC83" s="73">
        <f t="shared" si="70"/>
      </c>
      <c r="BD83" s="73">
        <f t="shared" si="71"/>
      </c>
      <c r="BE83" s="73">
        <f t="shared" si="30"/>
      </c>
      <c r="BF83" s="73">
        <f t="shared" si="31"/>
      </c>
      <c r="BG83" s="73">
        <f t="shared" si="32"/>
      </c>
      <c r="BH83" s="73">
        <f t="shared" si="33"/>
      </c>
      <c r="BI83" s="73">
        <f t="shared" si="96"/>
      </c>
      <c r="BJ83" s="73">
        <f t="shared" si="97"/>
      </c>
      <c r="BK83" s="40">
        <f t="shared" si="72"/>
      </c>
      <c r="BL83" s="40">
        <f t="shared" si="73"/>
      </c>
      <c r="BM83" s="40">
        <f t="shared" si="74"/>
      </c>
      <c r="BN83" s="40">
        <f t="shared" si="34"/>
      </c>
      <c r="BO83" s="40">
        <f t="shared" si="101"/>
      </c>
      <c r="BP83" s="40">
        <f t="shared" si="105"/>
      </c>
      <c r="BQ83" s="40">
        <f t="shared" si="36"/>
      </c>
      <c r="BR83" s="40">
        <f t="shared" si="106"/>
      </c>
      <c r="BS83" s="40">
        <f t="shared" si="75"/>
      </c>
      <c r="BT83" s="40">
        <f t="shared" si="108"/>
      </c>
      <c r="BU83" s="40">
        <f t="shared" si="39"/>
      </c>
      <c r="BV83" s="75">
        <f t="shared" si="40"/>
      </c>
      <c r="BW83" s="75">
        <f t="shared" si="41"/>
      </c>
      <c r="BX83" s="40">
        <f t="shared" si="102"/>
      </c>
      <c r="BY83" s="40">
        <f t="shared" si="103"/>
      </c>
      <c r="BZ83" s="61"/>
      <c r="CA83" s="73">
        <f t="shared" si="43"/>
      </c>
      <c r="CB83" s="84"/>
      <c r="CC83" s="73">
        <f t="shared" si="109"/>
      </c>
      <c r="CD83" s="73">
        <f t="shared" si="85"/>
      </c>
      <c r="CE83" s="73">
        <f t="shared" si="86"/>
      </c>
      <c r="CF83" s="73">
        <f t="shared" si="87"/>
      </c>
      <c r="CG83" s="73">
        <f t="shared" si="48"/>
      </c>
      <c r="CH83" s="73">
        <f t="shared" si="49"/>
      </c>
      <c r="CI83" s="73">
        <f t="shared" si="50"/>
      </c>
      <c r="CJ83" s="76">
        <f t="shared" si="51"/>
      </c>
      <c r="CK83" s="76">
        <f t="shared" si="76"/>
      </c>
      <c r="CL83" s="76">
        <f t="shared" si="77"/>
      </c>
      <c r="CM83" s="76">
        <f t="shared" si="78"/>
      </c>
      <c r="CN83" s="40">
        <f t="shared" si="104"/>
      </c>
      <c r="CO83" s="40">
        <f t="shared" si="88"/>
      </c>
      <c r="CP83" s="40">
        <f t="shared" si="89"/>
      </c>
      <c r="CQ83" s="40">
        <f t="shared" si="90"/>
      </c>
      <c r="CR83" s="40">
        <f t="shared" si="91"/>
      </c>
      <c r="CS83" s="40">
        <f t="shared" si="81"/>
      </c>
      <c r="CT83" s="40">
        <f t="shared" si="55"/>
      </c>
      <c r="CU83" s="40">
        <f t="shared" si="93"/>
      </c>
      <c r="CV83" s="40">
        <f t="shared" si="94"/>
      </c>
      <c r="CW83" s="40">
        <f t="shared" si="95"/>
      </c>
      <c r="CX83" s="40">
        <f t="shared" si="82"/>
      </c>
      <c r="CY83" s="40">
        <f t="shared" si="83"/>
      </c>
      <c r="CZ83" s="40">
        <f t="shared" si="92"/>
      </c>
      <c r="DA83" s="40">
        <f t="shared" si="60"/>
      </c>
    </row>
    <row r="84" spans="1:105" ht="12.75">
      <c r="A84" s="54"/>
      <c r="B84" s="54"/>
      <c r="C84" s="54"/>
      <c r="D84" s="61"/>
      <c r="E84" s="54"/>
      <c r="F84" s="54"/>
      <c r="G84" s="61"/>
      <c r="H84" s="64"/>
      <c r="I84" s="54"/>
      <c r="J84" s="61"/>
      <c r="K84" s="61"/>
      <c r="L84" s="54"/>
      <c r="M84" s="61"/>
      <c r="N84" s="61"/>
      <c r="O84" s="61"/>
      <c r="P84" s="61"/>
      <c r="Q84" s="120"/>
      <c r="R84" s="120"/>
      <c r="S84" s="120"/>
      <c r="T84" s="120"/>
      <c r="U84" s="72">
        <f t="shared" si="84"/>
      </c>
      <c r="V84" s="72">
        <f t="shared" si="12"/>
      </c>
      <c r="W84" s="73">
        <f t="shared" si="13"/>
      </c>
      <c r="X84" s="72">
        <f t="shared" si="14"/>
      </c>
      <c r="Y84" s="72">
        <f t="shared" si="15"/>
      </c>
      <c r="Z84" s="72">
        <f t="shared" si="16"/>
      </c>
      <c r="AA84" s="72">
        <f t="shared" si="17"/>
      </c>
      <c r="AB84" s="72">
        <f t="shared" si="18"/>
      </c>
      <c r="AC84" s="72">
        <f t="shared" si="19"/>
      </c>
      <c r="AD84" s="74">
        <f t="shared" si="100"/>
      </c>
      <c r="AE84" s="73">
        <f t="shared" si="61"/>
      </c>
      <c r="AF84" s="40">
        <f t="shared" si="62"/>
      </c>
      <c r="AG84" s="40">
        <f t="shared" si="98"/>
      </c>
      <c r="AH84" s="40">
        <f t="shared" si="22"/>
      </c>
      <c r="AI84" s="270">
        <f t="shared" si="23"/>
      </c>
      <c r="AJ84" s="40">
        <f>IF($B84="","",I84*IF($G$14="Sí",IF(OR($D84="R",$D84="RST"),IF($D$2="Sí",IF($G84="Motor",$D$6*$W84/(BB84^2),$W84/$D$6)*($AV84*$F84+$AW84*SIN(ACOS($F84))),$W84*$F84))+SUMIF(INICIO,$B84,R_RE),0))</f>
      </c>
      <c r="AK84" s="40">
        <f>IF(B84="","",I84*IF($G$14="Sí",IF(OR($D84="R",$D84="RST"),IF($D$2="Sí",IF($G84="Motor",$D$6*$W84/(BB84^2),$W84/$D$6)*($AW84*$F84-$AV84*SIN(ACOS($F84))),-$W84*SIN(ACOS($F84))))+SUMIF(INICIO,$B84,R_IM),0))</f>
      </c>
      <c r="AL84" s="273">
        <f t="shared" si="24"/>
      </c>
      <c r="AM84" s="40">
        <f>IF(B84="","",I84*IF($H$14="Sí",IF(OR($D84="S",$D84="RST"),IF($D$2="Sí",IF($G84="Motor",$D$6*$W84/(BC84^2),$W84/$D$6)*($AX84*$F84+$AY84*SIN(ACOS($F84))),-$W84*$F84/2-SQRT(3)/2*$W84*SIN(ACOS($F84))))+SUMIF(INICIO,$B84,S_RE),0))</f>
      </c>
      <c r="AN84" s="40">
        <f>IF(B84="","",I84*IF($H$14="Sí",IF(OR($D84="S",$D84="RST"),IF($D$2="Sí",IF($G84="Motor",$D$6*$W84/(BC84^2),$W84/$D$6)*($AY84*$F84-$AX84*SIN(ACOS($F84))),-SQRT(3)/2*$W84*$F84+0.5*$W84*SIN(ACOS($F84))))+SUMIF(INICIO,$B84,S_IM),0))</f>
      </c>
      <c r="AO84" s="273">
        <f t="shared" si="25"/>
      </c>
      <c r="AP84" s="40">
        <f>IF(B84="","",I84*IF($I$14="Sí",IF(OR($D84="T",$D84="RST"),IF($D$2="Sí",IF($G84="Motor",$D$6*$W84/(BD84^2),$W84/$D$6)*($AZ84*$F84+$BA84*SIN(ACOS($F84))),-$W84*$F84/2+SQRT(3)/2*$W84*SIN(ACOS($F84))))+SUMIF(INICIO,$B84,T_RE),0))</f>
      </c>
      <c r="AQ84" s="272">
        <f>IF(B84="","",I84*IF($I$14="Sí",IF(OR($D84="T",$D84="RST"),IF($D$2="Sí",IF($G84="Motor",$D$6*$W84/(BD84^2),$W84/$D$6)*($BA84*$F84-$AZ84*SIN(ACOS($F84))),SQRT(3)/2*$W84*$F84+0.5*$W84*SIN(ACOS($F84))))+SUMIF(INICIO,$B84,T_IM),0))</f>
      </c>
      <c r="AR84" s="40">
        <f t="shared" si="26"/>
      </c>
      <c r="AS84" s="40">
        <f t="shared" si="27"/>
      </c>
      <c r="AT84" s="40">
        <f t="shared" si="28"/>
      </c>
      <c r="AU84" s="40">
        <f t="shared" si="29"/>
      </c>
      <c r="AV84" s="73">
        <f t="shared" si="63"/>
      </c>
      <c r="AW84" s="73">
        <f t="shared" si="64"/>
      </c>
      <c r="AX84" s="73">
        <f t="shared" si="65"/>
      </c>
      <c r="AY84" s="73">
        <f t="shared" si="66"/>
      </c>
      <c r="AZ84" s="73">
        <f t="shared" si="67"/>
      </c>
      <c r="BA84" s="73">
        <f t="shared" si="68"/>
      </c>
      <c r="BB84" s="73">
        <f t="shared" si="69"/>
      </c>
      <c r="BC84" s="73">
        <f t="shared" si="70"/>
      </c>
      <c r="BD84" s="73">
        <f t="shared" si="71"/>
      </c>
      <c r="BE84" s="73">
        <f t="shared" si="30"/>
      </c>
      <c r="BF84" s="73">
        <f t="shared" si="31"/>
      </c>
      <c r="BG84" s="73">
        <f t="shared" si="32"/>
      </c>
      <c r="BH84" s="73">
        <f t="shared" si="33"/>
      </c>
      <c r="BI84" s="73">
        <f t="shared" si="96"/>
      </c>
      <c r="BJ84" s="73">
        <f t="shared" si="97"/>
      </c>
      <c r="BK84" s="40">
        <f t="shared" si="72"/>
      </c>
      <c r="BL84" s="40">
        <f t="shared" si="73"/>
      </c>
      <c r="BM84" s="40">
        <f t="shared" si="74"/>
      </c>
      <c r="BN84" s="40">
        <f t="shared" si="34"/>
      </c>
      <c r="BO84" s="40">
        <f t="shared" si="101"/>
      </c>
      <c r="BP84" s="40">
        <f t="shared" si="105"/>
      </c>
      <c r="BQ84" s="40">
        <f t="shared" si="36"/>
      </c>
      <c r="BR84" s="40">
        <f t="shared" si="106"/>
      </c>
      <c r="BS84" s="40">
        <f t="shared" si="75"/>
      </c>
      <c r="BT84" s="40">
        <f t="shared" si="108"/>
      </c>
      <c r="BU84" s="40">
        <f t="shared" si="39"/>
      </c>
      <c r="BV84" s="75">
        <f t="shared" si="40"/>
      </c>
      <c r="BW84" s="75">
        <f t="shared" si="41"/>
      </c>
      <c r="BX84" s="40">
        <f t="shared" si="102"/>
      </c>
      <c r="BY84" s="40">
        <f t="shared" si="103"/>
      </c>
      <c r="BZ84" s="61"/>
      <c r="CA84" s="73">
        <f t="shared" si="43"/>
      </c>
      <c r="CB84" s="84"/>
      <c r="CC84" s="73">
        <f t="shared" si="109"/>
      </c>
      <c r="CD84" s="73">
        <f t="shared" si="85"/>
      </c>
      <c r="CE84" s="73">
        <f t="shared" si="86"/>
      </c>
      <c r="CF84" s="73">
        <f t="shared" si="87"/>
      </c>
      <c r="CG84" s="73">
        <f t="shared" si="48"/>
      </c>
      <c r="CH84" s="73">
        <f t="shared" si="49"/>
      </c>
      <c r="CI84" s="73">
        <f t="shared" si="50"/>
      </c>
      <c r="CJ84" s="76">
        <f t="shared" si="51"/>
      </c>
      <c r="CK84" s="76">
        <f t="shared" si="76"/>
      </c>
      <c r="CL84" s="76">
        <f t="shared" si="77"/>
      </c>
      <c r="CM84" s="76">
        <f t="shared" si="78"/>
      </c>
      <c r="CN84" s="40">
        <f t="shared" si="104"/>
      </c>
      <c r="CO84" s="40">
        <f t="shared" si="88"/>
      </c>
      <c r="CP84" s="40">
        <f t="shared" si="89"/>
      </c>
      <c r="CQ84" s="40">
        <f t="shared" si="90"/>
      </c>
      <c r="CR84" s="40">
        <f t="shared" si="91"/>
      </c>
      <c r="CS84" s="40">
        <f t="shared" si="81"/>
      </c>
      <c r="CT84" s="40">
        <f t="shared" si="55"/>
      </c>
      <c r="CU84" s="40">
        <f t="shared" si="93"/>
      </c>
      <c r="CV84" s="40">
        <f t="shared" si="94"/>
      </c>
      <c r="CW84" s="40">
        <f t="shared" si="95"/>
      </c>
      <c r="CX84" s="40">
        <f t="shared" si="82"/>
      </c>
      <c r="CY84" s="40">
        <f t="shared" si="83"/>
      </c>
      <c r="CZ84" s="40">
        <f t="shared" si="92"/>
      </c>
      <c r="DA84" s="40">
        <f t="shared" si="60"/>
      </c>
    </row>
    <row r="85" spans="1:105" ht="12.75">
      <c r="A85" s="54"/>
      <c r="B85" s="54"/>
      <c r="C85" s="54"/>
      <c r="D85" s="61"/>
      <c r="E85" s="54"/>
      <c r="F85" s="54"/>
      <c r="G85" s="61"/>
      <c r="H85" s="64"/>
      <c r="I85" s="54"/>
      <c r="J85" s="61"/>
      <c r="K85" s="61"/>
      <c r="L85" s="54"/>
      <c r="M85" s="61"/>
      <c r="N85" s="61"/>
      <c r="O85" s="61"/>
      <c r="P85" s="61"/>
      <c r="Q85" s="120"/>
      <c r="R85" s="120"/>
      <c r="S85" s="120"/>
      <c r="T85" s="120"/>
      <c r="U85" s="72">
        <f aca="true" t="shared" si="110" ref="U85:U100">IF(A85="","",1.02*C85/K85*SUMIF(Tipo_cable,J85,Resis_20_C))</f>
      </c>
      <c r="V85" s="72">
        <f aca="true" t="shared" si="111" ref="V85:V100">IF(A85="","",IF($D$9="Sí",0,IF(N85="","",1.02*C85/N85*SUMIF(Tipo_cable,M85,Resis_20_C))))</f>
      </c>
      <c r="W85" s="73">
        <f aca="true" t="shared" si="112" ref="W85:W100">IF(A85="","",IF(D85="",0,IF(D85="RST",IF(G85="Alum. des.",1.8*E85/SQRT(3)/$D$5,E85/SQRT(3)/$D$5/F85),IF(G85="Alum. des.",1.8*E85/$D$6,E85/$D$6/F85))))</f>
      </c>
      <c r="X85" s="72">
        <f aca="true" t="shared" si="113" ref="X85:X100">IF(A85="","",IF($D$3="Sí",U85*(1+SUMIF(Tipo_cable,J85,alfa)*(IF(S85="",SUMIF(Tipo_cable,J85,Tem_amb),S85)*(1-(AL85/AD85)^2)+(AL85/AD85)^2*SUMIF(Tipo_cable,J85,Tem_máx)-20)),U85))</f>
      </c>
      <c r="Y85" s="72">
        <f aca="true" t="shared" si="114" ref="Y85:Y100">IF(A85="","",IF($D$3="Sí",U85*(1+SUMIF(Tipo_cable,J85,alfa)*(IF(S85="",SUMIF(Tipo_cable,J85,Tem_amb),S85)*(1-(AO85/AD85)^2)+(AO85/AD85)^2*SUMIF(Tipo_cable,J85,Tem_máx)-20)),U85))</f>
      </c>
      <c r="Z85" s="72">
        <f aca="true" t="shared" si="115" ref="Z85:Z100">IF(A85="","",IF($D$3="Sí",U85*(1+SUMIF(Tipo_cable,J85,alfa)*(IF(S85="",SUMIF(Tipo_cable,J85,Tem_amb),S85)*(1-(AR85/AD85)^2)+(AR85/AD85)^2*SUMIF(Tipo_cable,J85,Tem_máx)-20)),U85))</f>
      </c>
      <c r="AA85" s="72">
        <f aca="true" t="shared" si="116" ref="AA85:AA100">IF(A85="","",IF($D$3="Sí",V85*(1+SUMIF(Tipo_cable,M85,alfa)*(IF(S85="",SUMIF(Tipo_cable,M85,Tem_amb),S85)*(1-(AU85/AD85)^2)+(AU85/AD85)^2*SUMIF(Tipo_cable,M85,Tem_máx)-20)),V85))</f>
      </c>
      <c r="AB85" s="72">
        <f aca="true" t="shared" si="117" ref="AB85:AB100">IF(A85="","",IF($D$4="Sí",0,IF(Q85="",IF(P85="","",IF(OR(P85="Unipolar/Cu",P85="Unipolar/Al"),U85*SUMIF(Sección,K85,React_unipo),U85*SUMIF(Sección,K85,React_tripo))),Q85*C85)))</f>
      </c>
      <c r="AC85" s="72">
        <f aca="true" t="shared" si="118" ref="AC85:AC100">IF(A85="","",IF($D$4="Sí",0,IF(R85="",IF(P85="","",$D$8/100*IF(OR(P85="Unipolar/Al",P85="Unipolar/Cu"),V85*SUMIF(Sección,N85,React_unipo),V85*SUMIF(Sección,N85,React_tripo))),R85*C85)))</f>
      </c>
      <c r="AD85" s="74">
        <f t="shared" si="100"/>
      </c>
      <c r="AE85" s="73">
        <f t="shared" si="61"/>
      </c>
      <c r="AF85" s="40">
        <f t="shared" si="62"/>
      </c>
      <c r="AG85" s="40">
        <f t="shared" si="98"/>
      </c>
      <c r="AH85" s="40">
        <f t="shared" si="22"/>
      </c>
      <c r="AI85" s="270">
        <f t="shared" si="23"/>
      </c>
      <c r="AJ85" s="40">
        <f>IF($B85="","",I85*IF($G$14="Sí",IF(OR($D85="R",$D85="RST"),IF($D$2="Sí",IF($G85="Motor",$D$6*$W85/(BB85^2),$W85/$D$6)*($AV85*$F85+$AW85*SIN(ACOS($F85))),$W85*$F85))+SUMIF(INICIO,$B85,R_RE),0))</f>
      </c>
      <c r="AK85" s="40">
        <f>IF(B85="","",I85*IF($G$14="Sí",IF(OR($D85="R",$D85="RST"),IF($D$2="Sí",IF($G85="Motor",$D$6*$W85/(BB85^2),$W85/$D$6)*($AW85*$F85-$AV85*SIN(ACOS($F85))),-$W85*SIN(ACOS($F85))))+SUMIF(INICIO,$B85,R_IM),0))</f>
      </c>
      <c r="AL85" s="273">
        <f t="shared" si="24"/>
      </c>
      <c r="AM85" s="40">
        <f>IF(B85="","",I85*IF($H$14="Sí",IF(OR($D85="S",$D85="RST"),IF($D$2="Sí",IF($G85="Motor",$D$6*$W85/(BC85^2),$W85/$D$6)*($AX85*$F85+$AY85*SIN(ACOS($F85))),-$W85*$F85/2-SQRT(3)/2*$W85*SIN(ACOS($F85))))+SUMIF(INICIO,$B85,S_RE),0))</f>
      </c>
      <c r="AN85" s="40">
        <f>IF(B85="","",I85*IF($H$14="Sí",IF(OR($D85="S",$D85="RST"),IF($D$2="Sí",IF($G85="Motor",$D$6*$W85/(BC85^2),$W85/$D$6)*($AY85*$F85-$AX85*SIN(ACOS($F85))),-SQRT(3)/2*$W85*$F85+0.5*$W85*SIN(ACOS($F85))))+SUMIF(INICIO,$B85,S_IM),0))</f>
      </c>
      <c r="AO85" s="273">
        <f t="shared" si="25"/>
      </c>
      <c r="AP85" s="40">
        <f>IF(B85="","",I85*IF($I$14="Sí",IF(OR($D85="T",$D85="RST"),IF($D$2="Sí",IF($G85="Motor",$D$6*$W85/(BD85^2),$W85/$D$6)*($AZ85*$F85+$BA85*SIN(ACOS($F85))),-$W85*$F85/2+SQRT(3)/2*$W85*SIN(ACOS($F85))))+SUMIF(INICIO,$B85,T_RE),0))</f>
      </c>
      <c r="AQ85" s="272">
        <f>IF(B85="","",I85*IF($I$14="Sí",IF(OR($D85="T",$D85="RST"),IF($D$2="Sí",IF($G85="Motor",$D$6*$W85/(BD85^2),$W85/$D$6)*($BA85*$F85-$AZ85*SIN(ACOS($F85))),SQRT(3)/2*$W85*$F85+0.5*$W85*SIN(ACOS($F85))))+SUMIF(INICIO,$B85,T_IM),0))</f>
      </c>
      <c r="AR85" s="40">
        <f t="shared" si="26"/>
      </c>
      <c r="AS85" s="40">
        <f t="shared" si="27"/>
      </c>
      <c r="AT85" s="40">
        <f t="shared" si="28"/>
      </c>
      <c r="AU85" s="40">
        <f t="shared" si="29"/>
      </c>
      <c r="AV85" s="73">
        <f t="shared" si="63"/>
      </c>
      <c r="AW85" s="73">
        <f t="shared" si="64"/>
      </c>
      <c r="AX85" s="73">
        <f t="shared" si="65"/>
      </c>
      <c r="AY85" s="73">
        <f t="shared" si="66"/>
      </c>
      <c r="AZ85" s="73">
        <f t="shared" si="67"/>
      </c>
      <c r="BA85" s="73">
        <f t="shared" si="68"/>
      </c>
      <c r="BB85" s="73">
        <f t="shared" si="69"/>
      </c>
      <c r="BC85" s="73">
        <f t="shared" si="70"/>
      </c>
      <c r="BD85" s="73">
        <f t="shared" si="71"/>
      </c>
      <c r="BE85" s="73">
        <f t="shared" si="30"/>
      </c>
      <c r="BF85" s="73">
        <f t="shared" si="31"/>
      </c>
      <c r="BG85" s="73">
        <f t="shared" si="32"/>
      </c>
      <c r="BH85" s="73">
        <f aca="true" t="shared" si="119" ref="BH85:BH100">IF(B85="","",100*($D$6-BB85)/$D$6)</f>
      </c>
      <c r="BI85" s="73">
        <f t="shared" si="96"/>
      </c>
      <c r="BJ85" s="73">
        <f t="shared" si="97"/>
      </c>
      <c r="BK85" s="40">
        <f t="shared" si="72"/>
      </c>
      <c r="BL85" s="40">
        <f t="shared" si="73"/>
      </c>
      <c r="BM85" s="40">
        <f t="shared" si="74"/>
      </c>
      <c r="BN85" s="40">
        <f t="shared" si="34"/>
      </c>
      <c r="BO85" s="40">
        <f t="shared" si="101"/>
      </c>
      <c r="BP85" s="40">
        <f t="shared" si="105"/>
      </c>
      <c r="BQ85" s="40">
        <f t="shared" si="36"/>
      </c>
      <c r="BR85" s="40">
        <f t="shared" si="106"/>
      </c>
      <c r="BS85" s="40">
        <f t="shared" si="75"/>
      </c>
      <c r="BT85" s="40">
        <f t="shared" si="108"/>
      </c>
      <c r="BU85" s="40">
        <f t="shared" si="39"/>
      </c>
      <c r="BV85" s="75">
        <f t="shared" si="40"/>
      </c>
      <c r="BW85" s="75">
        <f t="shared" si="41"/>
      </c>
      <c r="BX85" s="40">
        <f t="shared" si="102"/>
      </c>
      <c r="BY85" s="40">
        <f t="shared" si="103"/>
      </c>
      <c r="BZ85" s="61"/>
      <c r="CA85" s="73">
        <f aca="true" t="shared" si="120" ref="CA85:CA100">IF(B85="","",(SUMIF(Tipo_cable,J85,Constante_k)*K85/(BX85*1000))^2)</f>
      </c>
      <c r="CB85" s="84"/>
      <c r="CC85" s="73">
        <f t="shared" si="109"/>
      </c>
      <c r="CD85" s="73">
        <f t="shared" si="85"/>
      </c>
      <c r="CE85" s="73">
        <f t="shared" si="86"/>
      </c>
      <c r="CF85" s="73">
        <f t="shared" si="87"/>
      </c>
      <c r="CG85" s="73">
        <f aca="true" t="shared" si="121" ref="CG85:CG100">IF(FINAL="","",SUMIF(FINAL,$H85,I_nom_A)*SUMIF(FINAL,$H85,FASE_R))</f>
      </c>
      <c r="CH85" s="73">
        <f aca="true" t="shared" si="122" ref="CH85:CH100">IF(FINAL="","",SUMIF(FINAL,$H85,I_nom_A)*SUMIF(FINAL,$H85,FASE_S))</f>
      </c>
      <c r="CI85" s="73">
        <f aca="true" t="shared" si="123" ref="CI85:CI100">IF(FINAL="","",SUMIF(FINAL,$H85,I_nom_A)*SUMIF(FINAL,$H85,FASE_T))</f>
      </c>
      <c r="CJ85" s="76">
        <f t="shared" si="51"/>
      </c>
      <c r="CK85" s="76">
        <f t="shared" si="76"/>
      </c>
      <c r="CL85" s="76">
        <f t="shared" si="77"/>
      </c>
      <c r="CM85" s="76">
        <f t="shared" si="78"/>
      </c>
      <c r="CN85" s="40">
        <f t="shared" si="104"/>
      </c>
      <c r="CO85" s="40">
        <f t="shared" si="88"/>
      </c>
      <c r="CP85" s="40">
        <f t="shared" si="89"/>
      </c>
      <c r="CQ85" s="40">
        <f t="shared" si="90"/>
      </c>
      <c r="CR85" s="40">
        <f t="shared" si="91"/>
      </c>
      <c r="CS85" s="40">
        <f t="shared" si="81"/>
      </c>
      <c r="CT85" s="40">
        <f t="shared" si="55"/>
      </c>
      <c r="CU85" s="40">
        <f t="shared" si="93"/>
      </c>
      <c r="CV85" s="40">
        <f t="shared" si="94"/>
      </c>
      <c r="CW85" s="40">
        <f t="shared" si="95"/>
      </c>
      <c r="CX85" s="40">
        <f t="shared" si="82"/>
      </c>
      <c r="CY85" s="40">
        <f t="shared" si="83"/>
      </c>
      <c r="CZ85" s="40">
        <f t="shared" si="92"/>
      </c>
      <c r="DA85" s="40">
        <f aca="true" t="shared" si="124" ref="DA85:DA100">IF($X85="","",X85*AL85^2+Y85*AO85^2+Z85*AR85^2)</f>
      </c>
    </row>
    <row r="86" spans="1:105" ht="12.75">
      <c r="A86" s="54"/>
      <c r="B86" s="54"/>
      <c r="C86" s="54"/>
      <c r="D86" s="61"/>
      <c r="E86" s="54"/>
      <c r="F86" s="54"/>
      <c r="G86" s="61"/>
      <c r="H86" s="64"/>
      <c r="I86" s="54"/>
      <c r="J86" s="61"/>
      <c r="K86" s="61"/>
      <c r="L86" s="54"/>
      <c r="M86" s="61"/>
      <c r="N86" s="61"/>
      <c r="O86" s="61"/>
      <c r="P86" s="61"/>
      <c r="Q86" s="120"/>
      <c r="R86" s="120"/>
      <c r="S86" s="120"/>
      <c r="T86" s="120"/>
      <c r="U86" s="72">
        <f t="shared" si="110"/>
      </c>
      <c r="V86" s="72">
        <f t="shared" si="111"/>
      </c>
      <c r="W86" s="73">
        <f t="shared" si="112"/>
      </c>
      <c r="X86" s="72">
        <f t="shared" si="113"/>
      </c>
      <c r="Y86" s="72">
        <f t="shared" si="114"/>
      </c>
      <c r="Z86" s="72">
        <f t="shared" si="115"/>
      </c>
      <c r="AA86" s="72">
        <f t="shared" si="116"/>
      </c>
      <c r="AB86" s="72">
        <f t="shared" si="117"/>
      </c>
      <c r="AC86" s="72">
        <f t="shared" si="118"/>
      </c>
      <c r="AD86" s="74">
        <f t="shared" si="100"/>
      </c>
      <c r="AE86" s="73">
        <f t="shared" si="61"/>
      </c>
      <c r="AF86" s="40">
        <f t="shared" si="62"/>
      </c>
      <c r="AG86" s="40">
        <f t="shared" si="98"/>
      </c>
      <c r="AH86" s="40">
        <f t="shared" si="22"/>
      </c>
      <c r="AI86" s="270">
        <f t="shared" si="23"/>
      </c>
      <c r="AJ86" s="40">
        <f>IF($B86="","",I86*IF($G$14="Sí",IF(OR($D86="R",$D86="RST"),IF($D$2="Sí",IF($G86="Motor",$D$6*$W86/(BB86^2),$W86/$D$6)*($AV86*$F86+$AW86*SIN(ACOS($F86))),$W86*$F86))+SUMIF(INICIO,$B86,R_RE),0))</f>
      </c>
      <c r="AK86" s="40">
        <f>IF(B86="","",I86*IF($G$14="Sí",IF(OR($D86="R",$D86="RST"),IF($D$2="Sí",IF($G86="Motor",$D$6*$W86/(BB86^2),$W86/$D$6)*($AW86*$F86-$AV86*SIN(ACOS($F86))),-$W86*SIN(ACOS($F86))))+SUMIF(INICIO,$B86,R_IM),0))</f>
      </c>
      <c r="AL86" s="273">
        <f t="shared" si="24"/>
      </c>
      <c r="AM86" s="40">
        <f>IF(B86="","",I86*IF($H$14="Sí",IF(OR($D86="S",$D86="RST"),IF($D$2="Sí",IF($G86="Motor",$D$6*$W86/(BC86^2),$W86/$D$6)*($AX86*$F86+$AY86*SIN(ACOS($F86))),-$W86*$F86/2-SQRT(3)/2*$W86*SIN(ACOS($F86))))+SUMIF(INICIO,$B86,S_RE),0))</f>
      </c>
      <c r="AN86" s="40">
        <f>IF(B86="","",I86*IF($H$14="Sí",IF(OR($D86="S",$D86="RST"),IF($D$2="Sí",IF($G86="Motor",$D$6*$W86/(BC86^2),$W86/$D$6)*($AY86*$F86-$AX86*SIN(ACOS($F86))),-SQRT(3)/2*$W86*$F86+0.5*$W86*SIN(ACOS($F86))))+SUMIF(INICIO,$B86,S_IM),0))</f>
      </c>
      <c r="AO86" s="273">
        <f t="shared" si="25"/>
      </c>
      <c r="AP86" s="40">
        <f>IF(B86="","",I86*IF($I$14="Sí",IF(OR($D86="T",$D86="RST"),IF($D$2="Sí",IF($G86="Motor",$D$6*$W86/(BD86^2),$W86/$D$6)*($AZ86*$F86+$BA86*SIN(ACOS($F86))),-$W86*$F86/2+SQRT(3)/2*$W86*SIN(ACOS($F86))))+SUMIF(INICIO,$B86,T_RE),0))</f>
      </c>
      <c r="AQ86" s="272">
        <f>IF(B86="","",I86*IF($I$14="Sí",IF(OR($D86="T",$D86="RST"),IF($D$2="Sí",IF($G86="Motor",$D$6*$W86/(BD86^2),$W86/$D$6)*($BA86*$F86-$AZ86*SIN(ACOS($F86))),SQRT(3)/2*$W86*$F86+0.5*$W86*SIN(ACOS($F86))))+SUMIF(INICIO,$B86,T_IM),0))</f>
      </c>
      <c r="AR86" s="40">
        <f t="shared" si="26"/>
      </c>
      <c r="AS86" s="40">
        <f t="shared" si="27"/>
      </c>
      <c r="AT86" s="40">
        <f t="shared" si="28"/>
      </c>
      <c r="AU86" s="40">
        <f t="shared" si="29"/>
      </c>
      <c r="AV86" s="73">
        <f t="shared" si="63"/>
      </c>
      <c r="AW86" s="73">
        <f t="shared" si="64"/>
      </c>
      <c r="AX86" s="73">
        <f t="shared" si="65"/>
      </c>
      <c r="AY86" s="73">
        <f t="shared" si="66"/>
      </c>
      <c r="AZ86" s="73">
        <f t="shared" si="67"/>
      </c>
      <c r="BA86" s="73">
        <f t="shared" si="68"/>
      </c>
      <c r="BB86" s="73">
        <f t="shared" si="69"/>
      </c>
      <c r="BC86" s="73">
        <f t="shared" si="70"/>
      </c>
      <c r="BD86" s="73">
        <f t="shared" si="71"/>
      </c>
      <c r="BE86" s="73">
        <f t="shared" si="30"/>
      </c>
      <c r="BF86" s="73">
        <f t="shared" si="31"/>
      </c>
      <c r="BG86" s="73">
        <f t="shared" si="32"/>
      </c>
      <c r="BH86" s="73">
        <f t="shared" si="119"/>
      </c>
      <c r="BI86" s="73">
        <f t="shared" si="96"/>
      </c>
      <c r="BJ86" s="73">
        <f t="shared" si="97"/>
      </c>
      <c r="BK86" s="40">
        <f t="shared" si="72"/>
      </c>
      <c r="BL86" s="40">
        <f t="shared" si="73"/>
      </c>
      <c r="BM86" s="40">
        <f t="shared" si="74"/>
      </c>
      <c r="BN86" s="40">
        <f t="shared" si="34"/>
      </c>
      <c r="BO86" s="40">
        <f t="shared" si="101"/>
      </c>
      <c r="BP86" s="40">
        <f t="shared" si="105"/>
      </c>
      <c r="BQ86" s="40">
        <f t="shared" si="36"/>
      </c>
      <c r="BR86" s="40">
        <f t="shared" si="106"/>
      </c>
      <c r="BS86" s="40">
        <f t="shared" si="75"/>
      </c>
      <c r="BT86" s="40">
        <f t="shared" si="108"/>
      </c>
      <c r="BU86" s="40">
        <f t="shared" si="39"/>
      </c>
      <c r="BV86" s="75">
        <f t="shared" si="40"/>
      </c>
      <c r="BW86" s="75">
        <f t="shared" si="41"/>
      </c>
      <c r="BX86" s="40">
        <f t="shared" si="102"/>
      </c>
      <c r="BY86" s="40">
        <f t="shared" si="103"/>
      </c>
      <c r="BZ86" s="61"/>
      <c r="CA86" s="73">
        <f t="shared" si="120"/>
      </c>
      <c r="CB86" s="84"/>
      <c r="CC86" s="73">
        <f t="shared" si="109"/>
      </c>
      <c r="CD86" s="73">
        <f t="shared" si="85"/>
      </c>
      <c r="CE86" s="73">
        <f t="shared" si="86"/>
      </c>
      <c r="CF86" s="73">
        <f t="shared" si="87"/>
      </c>
      <c r="CG86" s="73">
        <f t="shared" si="121"/>
      </c>
      <c r="CH86" s="73">
        <f t="shared" si="122"/>
      </c>
      <c r="CI86" s="73">
        <f t="shared" si="123"/>
      </c>
      <c r="CJ86" s="76">
        <f t="shared" si="51"/>
      </c>
      <c r="CK86" s="76">
        <f t="shared" si="76"/>
      </c>
      <c r="CL86" s="76">
        <f t="shared" si="77"/>
      </c>
      <c r="CM86" s="76">
        <f t="shared" si="78"/>
      </c>
      <c r="CN86" s="40">
        <f t="shared" si="104"/>
      </c>
      <c r="CO86" s="40">
        <f t="shared" si="88"/>
      </c>
      <c r="CP86" s="40">
        <f t="shared" si="89"/>
      </c>
      <c r="CQ86" s="40">
        <f t="shared" si="90"/>
      </c>
      <c r="CR86" s="40">
        <f t="shared" si="91"/>
      </c>
      <c r="CS86" s="40">
        <f t="shared" si="81"/>
      </c>
      <c r="CT86" s="40">
        <f t="shared" si="55"/>
      </c>
      <c r="CU86" s="40">
        <f t="shared" si="93"/>
      </c>
      <c r="CV86" s="40">
        <f t="shared" si="94"/>
      </c>
      <c r="CW86" s="40">
        <f t="shared" si="95"/>
      </c>
      <c r="CX86" s="40">
        <f t="shared" si="82"/>
      </c>
      <c r="CY86" s="40">
        <f t="shared" si="83"/>
      </c>
      <c r="CZ86" s="40">
        <f t="shared" si="92"/>
      </c>
      <c r="DA86" s="40">
        <f t="shared" si="124"/>
      </c>
    </row>
    <row r="87" spans="1:105" ht="12.75">
      <c r="A87" s="54"/>
      <c r="B87" s="54"/>
      <c r="C87" s="54"/>
      <c r="D87" s="61"/>
      <c r="E87" s="54"/>
      <c r="F87" s="54"/>
      <c r="G87" s="61"/>
      <c r="H87" s="64"/>
      <c r="I87" s="54"/>
      <c r="J87" s="61"/>
      <c r="K87" s="61"/>
      <c r="L87" s="54"/>
      <c r="M87" s="61"/>
      <c r="N87" s="61"/>
      <c r="O87" s="61"/>
      <c r="P87" s="61"/>
      <c r="Q87" s="120"/>
      <c r="R87" s="120"/>
      <c r="S87" s="120"/>
      <c r="T87" s="120"/>
      <c r="U87" s="72">
        <f t="shared" si="110"/>
      </c>
      <c r="V87" s="72">
        <f t="shared" si="111"/>
      </c>
      <c r="W87" s="73">
        <f t="shared" si="112"/>
      </c>
      <c r="X87" s="72">
        <f t="shared" si="113"/>
      </c>
      <c r="Y87" s="72">
        <f t="shared" si="114"/>
      </c>
      <c r="Z87" s="72">
        <f t="shared" si="115"/>
      </c>
      <c r="AA87" s="72">
        <f t="shared" si="116"/>
      </c>
      <c r="AB87" s="72">
        <f t="shared" si="117"/>
      </c>
      <c r="AC87" s="72">
        <f t="shared" si="118"/>
      </c>
      <c r="AD87" s="74">
        <f aca="true" t="shared" si="125" ref="AD87:AD100">IF(L87="","",L87*IF(S87="",1,SQRT((SUMIF(Tipo_cable,J87,Tem_máx)-S87)/((SUMIF(Tipo_cable,J87,Tem_máx)-(SUMIF(Tipo_cable,J87,Tem_amb))))))*IF(T87="",1,T87))</f>
      </c>
      <c r="AE87" s="73">
        <f t="shared" si="61"/>
      </c>
      <c r="AF87" s="40">
        <f t="shared" si="62"/>
      </c>
      <c r="AG87" s="40">
        <f t="shared" si="98"/>
      </c>
      <c r="AH87" s="40">
        <f t="shared" si="22"/>
      </c>
      <c r="AI87" s="270">
        <f t="shared" si="23"/>
      </c>
      <c r="AJ87" s="40">
        <f>IF($B87="","",I87*IF($G$14="Sí",IF(OR($D87="R",$D87="RST"),IF($D$2="Sí",IF($G87="Motor",$D$6*$W87/(BB87^2),$W87/$D$6)*($AV87*$F87+$AW87*SIN(ACOS($F87))),$W87*$F87))+SUMIF(INICIO,$B87,R_RE),0))</f>
      </c>
      <c r="AK87" s="40">
        <f>IF(B87="","",I87*IF($G$14="Sí",IF(OR($D87="R",$D87="RST"),IF($D$2="Sí",IF($G87="Motor",$D$6*$W87/(BB87^2),$W87/$D$6)*($AW87*$F87-$AV87*SIN(ACOS($F87))),-$W87*SIN(ACOS($F87))))+SUMIF(INICIO,$B87,R_IM),0))</f>
      </c>
      <c r="AL87" s="273">
        <f t="shared" si="24"/>
      </c>
      <c r="AM87" s="40">
        <f>IF(B87="","",I87*IF($H$14="Sí",IF(OR($D87="S",$D87="RST"),IF($D$2="Sí",IF($G87="Motor",$D$6*$W87/(BC87^2),$W87/$D$6)*($AX87*$F87+$AY87*SIN(ACOS($F87))),-$W87*$F87/2-SQRT(3)/2*$W87*SIN(ACOS($F87))))+SUMIF(INICIO,$B87,S_RE),0))</f>
      </c>
      <c r="AN87" s="40">
        <f>IF(B87="","",I87*IF($H$14="Sí",IF(OR($D87="S",$D87="RST"),IF($D$2="Sí",IF($G87="Motor",$D$6*$W87/(BC87^2),$W87/$D$6)*($AY87*$F87-$AX87*SIN(ACOS($F87))),-SQRT(3)/2*$W87*$F87+0.5*$W87*SIN(ACOS($F87))))+SUMIF(INICIO,$B87,S_IM),0))</f>
      </c>
      <c r="AO87" s="273">
        <f t="shared" si="25"/>
      </c>
      <c r="AP87" s="40">
        <f>IF(B87="","",I87*IF($I$14="Sí",IF(OR($D87="T",$D87="RST"),IF($D$2="Sí",IF($G87="Motor",$D$6*$W87/(BD87^2),$W87/$D$6)*($AZ87*$F87+$BA87*SIN(ACOS($F87))),-$W87*$F87/2+SQRT(3)/2*$W87*SIN(ACOS($F87))))+SUMIF(INICIO,$B87,T_RE),0))</f>
      </c>
      <c r="AQ87" s="272">
        <f>IF(B87="","",I87*IF($I$14="Sí",IF(OR($D87="T",$D87="RST"),IF($D$2="Sí",IF($G87="Motor",$D$6*$W87/(BD87^2),$W87/$D$6)*($BA87*$F87-$AZ87*SIN(ACOS($F87))),SQRT(3)/2*$W87*$F87+0.5*$W87*SIN(ACOS($F87))))+SUMIF(INICIO,$B87,T_IM),0))</f>
      </c>
      <c r="AR87" s="40">
        <f t="shared" si="26"/>
      </c>
      <c r="AS87" s="40">
        <f t="shared" si="27"/>
      </c>
      <c r="AT87" s="40">
        <f t="shared" si="28"/>
      </c>
      <c r="AU87" s="40">
        <f t="shared" si="29"/>
      </c>
      <c r="AV87" s="73">
        <f t="shared" si="63"/>
      </c>
      <c r="AW87" s="73">
        <f t="shared" si="64"/>
      </c>
      <c r="AX87" s="73">
        <f t="shared" si="65"/>
      </c>
      <c r="AY87" s="73">
        <f t="shared" si="66"/>
      </c>
      <c r="AZ87" s="73">
        <f t="shared" si="67"/>
      </c>
      <c r="BA87" s="73">
        <f t="shared" si="68"/>
      </c>
      <c r="BB87" s="73">
        <f t="shared" si="69"/>
      </c>
      <c r="BC87" s="73">
        <f t="shared" si="70"/>
      </c>
      <c r="BD87" s="73">
        <f t="shared" si="71"/>
      </c>
      <c r="BE87" s="73">
        <f t="shared" si="30"/>
      </c>
      <c r="BF87" s="73">
        <f t="shared" si="31"/>
      </c>
      <c r="BG87" s="73">
        <f t="shared" si="32"/>
      </c>
      <c r="BH87" s="73">
        <f t="shared" si="119"/>
      </c>
      <c r="BI87" s="73">
        <f t="shared" si="96"/>
      </c>
      <c r="BJ87" s="73">
        <f t="shared" si="97"/>
      </c>
      <c r="BK87" s="40">
        <f t="shared" si="72"/>
      </c>
      <c r="BL87" s="40">
        <f t="shared" si="73"/>
      </c>
      <c r="BM87" s="40">
        <f t="shared" si="74"/>
      </c>
      <c r="BN87" s="40">
        <f t="shared" si="34"/>
      </c>
      <c r="BO87" s="40">
        <f aca="true" t="shared" si="126" ref="BO87:BO100">IF(B87="","",MAX(CR87:CT87)-CC87+1.25*CC87)</f>
      </c>
      <c r="BP87" s="40">
        <f t="shared" si="105"/>
      </c>
      <c r="BQ87" s="40">
        <f t="shared" si="36"/>
      </c>
      <c r="BR87" s="40">
        <f t="shared" si="106"/>
      </c>
      <c r="BS87" s="40">
        <f t="shared" si="75"/>
      </c>
      <c r="BT87" s="40">
        <f t="shared" si="108"/>
      </c>
      <c r="BU87" s="40">
        <f t="shared" si="39"/>
      </c>
      <c r="BV87" s="75">
        <f t="shared" si="40"/>
      </c>
      <c r="BW87" s="75">
        <f t="shared" si="41"/>
      </c>
      <c r="BX87" s="40">
        <f aca="true" t="shared" si="127" ref="BX87:BX100">IF(B87="","",$D$6/SQRT((BV87-U87)^2+(BW87-AB87+$S$12)^2)/1000)</f>
      </c>
      <c r="BY87" s="40">
        <f aca="true" t="shared" si="128" ref="BY87:BY101">IF(B87="","",SUMIF(Tipo_cable,J87,Constante_k)*K87/SQRT(IF(BZ87="",0.7,BZ87))/1000)</f>
      </c>
      <c r="BZ87" s="61"/>
      <c r="CA87" s="73">
        <f t="shared" si="120"/>
      </c>
      <c r="CB87" s="84"/>
      <c r="CC87" s="73">
        <f t="shared" si="109"/>
      </c>
      <c r="CD87" s="73">
        <f t="shared" si="85"/>
      </c>
      <c r="CE87" s="73">
        <f t="shared" si="86"/>
      </c>
      <c r="CF87" s="73">
        <f t="shared" si="87"/>
      </c>
      <c r="CG87" s="73">
        <f t="shared" si="121"/>
      </c>
      <c r="CH87" s="73">
        <f t="shared" si="122"/>
      </c>
      <c r="CI87" s="73">
        <f t="shared" si="123"/>
      </c>
      <c r="CJ87" s="76">
        <f t="shared" si="51"/>
      </c>
      <c r="CK87" s="76">
        <f t="shared" si="76"/>
      </c>
      <c r="CL87" s="76">
        <f t="shared" si="77"/>
      </c>
      <c r="CM87" s="76">
        <f t="shared" si="78"/>
      </c>
      <c r="CN87" s="40">
        <f aca="true" t="shared" si="129" ref="CN87:CN100">IF(B87="","",I87*(W87*F87+SUMIF(INICIO,$B87,I_cosfi)))</f>
      </c>
      <c r="CO87" s="40">
        <f t="shared" si="88"/>
      </c>
      <c r="CP87" s="40">
        <f t="shared" si="89"/>
      </c>
      <c r="CQ87" s="40">
        <f t="shared" si="90"/>
      </c>
      <c r="CR87" s="40">
        <f t="shared" si="91"/>
      </c>
      <c r="CS87" s="40">
        <f t="shared" si="81"/>
      </c>
      <c r="CT87" s="40">
        <f t="shared" si="55"/>
      </c>
      <c r="CU87" s="40">
        <f t="shared" si="93"/>
      </c>
      <c r="CV87" s="40">
        <f t="shared" si="94"/>
      </c>
      <c r="CW87" s="40">
        <f t="shared" si="95"/>
      </c>
      <c r="CX87" s="40">
        <f t="shared" si="82"/>
      </c>
      <c r="CY87" s="40">
        <f t="shared" si="83"/>
      </c>
      <c r="CZ87" s="40">
        <f t="shared" si="92"/>
      </c>
      <c r="DA87" s="40">
        <f t="shared" si="124"/>
      </c>
    </row>
    <row r="88" spans="1:105" ht="12.75">
      <c r="A88" s="54"/>
      <c r="B88" s="54"/>
      <c r="C88" s="54"/>
      <c r="D88" s="61"/>
      <c r="E88" s="54"/>
      <c r="F88" s="54"/>
      <c r="G88" s="61"/>
      <c r="H88" s="64"/>
      <c r="I88" s="54"/>
      <c r="J88" s="61"/>
      <c r="K88" s="61"/>
      <c r="L88" s="54"/>
      <c r="M88" s="61"/>
      <c r="N88" s="61"/>
      <c r="O88" s="61"/>
      <c r="P88" s="61"/>
      <c r="Q88" s="120"/>
      <c r="R88" s="120"/>
      <c r="S88" s="120"/>
      <c r="T88" s="120"/>
      <c r="U88" s="72">
        <f t="shared" si="110"/>
      </c>
      <c r="V88" s="72">
        <f t="shared" si="111"/>
      </c>
      <c r="W88" s="73">
        <f t="shared" si="112"/>
      </c>
      <c r="X88" s="72">
        <f t="shared" si="113"/>
      </c>
      <c r="Y88" s="72">
        <f t="shared" si="114"/>
      </c>
      <c r="Z88" s="72">
        <f t="shared" si="115"/>
      </c>
      <c r="AA88" s="72">
        <f t="shared" si="116"/>
      </c>
      <c r="AB88" s="72">
        <f t="shared" si="117"/>
      </c>
      <c r="AC88" s="72">
        <f t="shared" si="118"/>
      </c>
      <c r="AD88" s="74">
        <f t="shared" si="125"/>
      </c>
      <c r="AE88" s="73">
        <f t="shared" si="61"/>
      </c>
      <c r="AF88" s="40">
        <f aca="true" t="shared" si="130" ref="AF88:AF100">IF(B88="","",$D$6-MIN(BB88:BD88))</f>
      </c>
      <c r="AG88" s="40">
        <f t="shared" si="98"/>
      </c>
      <c r="AH88" s="40">
        <f aca="true" t="shared" si="131" ref="AH88:AH100">IF(B88="","",$D$5-MIN(BE88:BG88))</f>
      </c>
      <c r="AI88" s="270">
        <f aca="true" t="shared" si="132" ref="AI88:AI100">IF(B88="","",100*AH88/$D$5)</f>
      </c>
      <c r="AJ88" s="40">
        <f>IF($B88="","",I88*IF($G$14="Sí",IF(OR($D88="R",$D88="RST"),IF($D$2="Sí",IF($G88="Motor",$D$6*$W88/(BB88^2),$W88/$D$6)*($AV88*$F88+$AW88*SIN(ACOS($F88))),$W88*$F88))+SUMIF(INICIO,$B88,R_RE),0))</f>
      </c>
      <c r="AK88" s="40">
        <f>IF(B88="","",I88*IF($G$14="Sí",IF(OR($D88="R",$D88="RST"),IF($D$2="Sí",IF($G88="Motor",$D$6*$W88/(BB88^2),$W88/$D$6)*($AW88*$F88-$AV88*SIN(ACOS($F88))),-$W88*SIN(ACOS($F88))))+SUMIF(INICIO,$B88,R_IM),0))</f>
      </c>
      <c r="AL88" s="273">
        <f aca="true" t="shared" si="133" ref="AL88:AL100">IF(B88="","",SQRT(AJ88^2+AK88^2))</f>
      </c>
      <c r="AM88" s="40">
        <f>IF(B88="","",I88*IF($H$14="Sí",IF(OR($D88="S",$D88="RST"),IF($D$2="Sí",IF($G88="Motor",$D$6*$W88/(BC88^2),$W88/$D$6)*($AX88*$F88+$AY88*SIN(ACOS($F88))),-$W88*$F88/2-SQRT(3)/2*$W88*SIN(ACOS($F88))))+SUMIF(INICIO,$B88,S_RE),0))</f>
      </c>
      <c r="AN88" s="40">
        <f>IF(B88="","",I88*IF($H$14="Sí",IF(OR($D88="S",$D88="RST"),IF($D$2="Sí",IF($G88="Motor",$D$6*$W88/(BC88^2),$W88/$D$6)*($AY88*$F88-$AX88*SIN(ACOS($F88))),-SQRT(3)/2*$W88*$F88+0.5*$W88*SIN(ACOS($F88))))+SUMIF(INICIO,$B88,S_IM),0))</f>
      </c>
      <c r="AO88" s="273">
        <f aca="true" t="shared" si="134" ref="AO88:AO100">IF(B88="","",SQRT(AM88^2+AN88^2))</f>
      </c>
      <c r="AP88" s="40">
        <f>IF(B88="","",I88*IF($I$14="Sí",IF(OR($D88="T",$D88="RST"),IF($D$2="Sí",IF($G88="Motor",$D$6*$W88/(BD88^2),$W88/$D$6)*($AZ88*$F88+$BA88*SIN(ACOS($F88))),-$W88*$F88/2+SQRT(3)/2*$W88*SIN(ACOS($F88))))+SUMIF(INICIO,$B88,T_RE),0))</f>
      </c>
      <c r="AQ88" s="272">
        <f>IF(B88="","",I88*IF($I$14="Sí",IF(OR($D88="T",$D88="RST"),IF($D$2="Sí",IF($G88="Motor",$D$6*$W88/(BD88^2),$W88/$D$6)*($BA88*$F88-$AZ88*SIN(ACOS($F88))),SQRT(3)/2*$W88*$F88+0.5*$W88*SIN(ACOS($F88))))+SUMIF(INICIO,$B88,T_IM),0))</f>
      </c>
      <c r="AR88" s="40">
        <f aca="true" t="shared" si="135" ref="AR88:AR100">IF(B88="","",SQRT(AP88^2+AQ88^2))</f>
      </c>
      <c r="AS88" s="40">
        <f aca="true" t="shared" si="136" ref="AS88:AS100">IF(B88="","",AJ88+AM88+AP88)</f>
      </c>
      <c r="AT88" s="40">
        <f aca="true" t="shared" si="137" ref="AT88:AT100">IF(B88="","",AK88+AN88+AQ88)</f>
      </c>
      <c r="AU88" s="40">
        <f aca="true" t="shared" si="138" ref="AU88:AU100">IF(B88="","",SQRT(AS88^2+AT88^2))</f>
      </c>
      <c r="AV88" s="73">
        <f t="shared" si="63"/>
      </c>
      <c r="AW88" s="73">
        <f t="shared" si="64"/>
      </c>
      <c r="AX88" s="73">
        <f t="shared" si="65"/>
      </c>
      <c r="AY88" s="73">
        <f t="shared" si="66"/>
      </c>
      <c r="AZ88" s="73">
        <f t="shared" si="67"/>
      </c>
      <c r="BA88" s="73">
        <f t="shared" si="68"/>
      </c>
      <c r="BB88" s="73">
        <f t="shared" si="69"/>
      </c>
      <c r="BC88" s="73">
        <f t="shared" si="70"/>
      </c>
      <c r="BD88" s="73">
        <f t="shared" si="71"/>
      </c>
      <c r="BE88" s="73">
        <f aca="true" t="shared" si="139" ref="BE88:BE101">IF(B88="","",SQRT((AV88-AX88)^2+(AW88-AY88)^2))</f>
      </c>
      <c r="BF88" s="73">
        <f aca="true" t="shared" si="140" ref="BF88:BF101">IF(B88="","",SQRT((AX88-AZ88)^2+(AY88-BA88)^2))</f>
      </c>
      <c r="BG88" s="73">
        <f aca="true" t="shared" si="141" ref="BG88:BG101">IF(B88="","",SQRT((AZ88-AV88)^2+(BA88-AW88)^2))</f>
      </c>
      <c r="BH88" s="73">
        <f t="shared" si="119"/>
      </c>
      <c r="BI88" s="73">
        <f t="shared" si="96"/>
      </c>
      <c r="BJ88" s="73">
        <f t="shared" si="97"/>
      </c>
      <c r="BK88" s="40">
        <f t="shared" si="72"/>
      </c>
      <c r="BL88" s="40">
        <f t="shared" si="73"/>
      </c>
      <c r="BM88" s="40">
        <f t="shared" si="74"/>
      </c>
      <c r="BN88" s="40">
        <f aca="true" t="shared" si="142" ref="BN88:BN100">IF(B88="","",100*($D$5-BM88)/$D$5)</f>
      </c>
      <c r="BO88" s="40">
        <f t="shared" si="126"/>
      </c>
      <c r="BP88" s="40">
        <f aca="true" t="shared" si="143" ref="BP88:BP100">IF(B88="","",SUMIF(FINAL,$A88,U_FINAL_R)-SQRT(3)*U88*CX88)</f>
      </c>
      <c r="BQ88" s="40">
        <f aca="true" t="shared" si="144" ref="BQ88:BQ100">IF(B88="","",100*($D$5-BP88)/$D$5)</f>
      </c>
      <c r="BR88" s="40">
        <f aca="true" t="shared" si="145" ref="BR88:BR100">IF(B88="","",SUMIF(FINAL,$A88,U_FINAL_S)-SQRT(3)*U88*CY88)</f>
      </c>
      <c r="BS88" s="40">
        <f t="shared" si="75"/>
      </c>
      <c r="BT88" s="40">
        <f t="shared" si="108"/>
      </c>
      <c r="BU88" s="40">
        <f aca="true" t="shared" si="146" ref="BU88:BU100">IF(B88="","",100*($D$5-BT88)/$D$5)</f>
      </c>
      <c r="BV88" s="75">
        <f aca="true" t="shared" si="147" ref="BV88:BV100">IF(B88="","",U88+SUMIF(FINAL,$A88,R_FINAL))</f>
      </c>
      <c r="BW88" s="75">
        <f aca="true" t="shared" si="148" ref="BW88:BW100">IF(B88="","",AB88+SUMIF(FINAL,$A88,X_FINAL))</f>
      </c>
      <c r="BX88" s="40">
        <f t="shared" si="127"/>
      </c>
      <c r="BY88" s="40">
        <f t="shared" si="128"/>
      </c>
      <c r="BZ88" s="61"/>
      <c r="CA88" s="73">
        <f t="shared" si="120"/>
      </c>
      <c r="CB88" s="84"/>
      <c r="CC88" s="73">
        <f t="shared" si="109"/>
      </c>
      <c r="CD88" s="73">
        <f t="shared" si="85"/>
      </c>
      <c r="CE88" s="73">
        <f t="shared" si="86"/>
      </c>
      <c r="CF88" s="73">
        <f t="shared" si="87"/>
      </c>
      <c r="CG88" s="73">
        <f t="shared" si="121"/>
      </c>
      <c r="CH88" s="73">
        <f t="shared" si="122"/>
      </c>
      <c r="CI88" s="73">
        <f t="shared" si="123"/>
      </c>
      <c r="CJ88" s="76">
        <f aca="true" t="shared" si="149" ref="CJ88:CJ100">IF(B88="","",C88*IF(P88="Unipolar/Cu",3,0))</f>
      </c>
      <c r="CK88" s="76">
        <f t="shared" si="76"/>
      </c>
      <c r="CL88" s="76">
        <f t="shared" si="77"/>
      </c>
      <c r="CM88" s="76">
        <f t="shared" si="78"/>
      </c>
      <c r="CN88" s="40">
        <f t="shared" si="129"/>
      </c>
      <c r="CO88" s="40">
        <f t="shared" si="88"/>
      </c>
      <c r="CP88" s="40">
        <f t="shared" si="89"/>
      </c>
      <c r="CQ88" s="40">
        <f t="shared" si="90"/>
      </c>
      <c r="CR88" s="40">
        <f t="shared" si="91"/>
      </c>
      <c r="CS88" s="40">
        <f t="shared" si="81"/>
      </c>
      <c r="CT88" s="40">
        <f aca="true" t="shared" si="150" ref="CT88:CT100">IF($B88="","",I88*IF($I$14="Sí",IF(OR($D88="T",$D88="RST"),$W88)+SUMIF(INICIO,$B88,I_tramoT),0))</f>
      </c>
      <c r="CU88" s="40">
        <f t="shared" si="93"/>
      </c>
      <c r="CV88" s="40">
        <f t="shared" si="94"/>
      </c>
      <c r="CW88" s="40">
        <f t="shared" si="95"/>
      </c>
      <c r="CX88" s="40">
        <f t="shared" si="82"/>
      </c>
      <c r="CY88" s="40">
        <f t="shared" si="83"/>
      </c>
      <c r="CZ88" s="40">
        <f t="shared" si="92"/>
      </c>
      <c r="DA88" s="40">
        <f t="shared" si="124"/>
      </c>
    </row>
    <row r="89" spans="1:105" ht="12.75">
      <c r="A89" s="54"/>
      <c r="B89" s="54"/>
      <c r="C89" s="54"/>
      <c r="D89" s="61"/>
      <c r="E89" s="54"/>
      <c r="F89" s="54"/>
      <c r="G89" s="61"/>
      <c r="H89" s="64"/>
      <c r="I89" s="54"/>
      <c r="J89" s="61"/>
      <c r="K89" s="61"/>
      <c r="L89" s="54"/>
      <c r="M89" s="61"/>
      <c r="N89" s="61"/>
      <c r="O89" s="61"/>
      <c r="P89" s="61"/>
      <c r="Q89" s="120"/>
      <c r="R89" s="120"/>
      <c r="S89" s="120"/>
      <c r="T89" s="120"/>
      <c r="U89" s="72">
        <f t="shared" si="110"/>
      </c>
      <c r="V89" s="72">
        <f t="shared" si="111"/>
      </c>
      <c r="W89" s="73">
        <f t="shared" si="112"/>
      </c>
      <c r="X89" s="72">
        <f t="shared" si="113"/>
      </c>
      <c r="Y89" s="72">
        <f t="shared" si="114"/>
      </c>
      <c r="Z89" s="72">
        <f t="shared" si="115"/>
      </c>
      <c r="AA89" s="72">
        <f t="shared" si="116"/>
      </c>
      <c r="AB89" s="72">
        <f t="shared" si="117"/>
      </c>
      <c r="AC89" s="72">
        <f t="shared" si="118"/>
      </c>
      <c r="AD89" s="74">
        <f t="shared" si="125"/>
      </c>
      <c r="AE89" s="73">
        <f aca="true" t="shared" si="151" ref="AE89:AE100">IF(B89="","",MAX(AL89,MAX(AO89,AR89))-CC89+1.25*CC89)</f>
      </c>
      <c r="AF89" s="40">
        <f t="shared" si="130"/>
      </c>
      <c r="AG89" s="40">
        <f t="shared" si="98"/>
      </c>
      <c r="AH89" s="40">
        <f t="shared" si="131"/>
      </c>
      <c r="AI89" s="270">
        <f t="shared" si="132"/>
      </c>
      <c r="AJ89" s="40">
        <f>IF($B89="","",I89*IF($G$14="Sí",IF(OR($D89="R",$D89="RST"),IF($D$2="Sí",IF($G89="Motor",$D$6*$W89/(BB89^2),$W89/$D$6)*($AV89*$F89+$AW89*SIN(ACOS($F89))),$W89*$F89))+SUMIF(INICIO,$B89,R_RE),0))</f>
      </c>
      <c r="AK89" s="40">
        <f>IF(B89="","",I89*IF($G$14="Sí",IF(OR($D89="R",$D89="RST"),IF($D$2="Sí",IF($G89="Motor",$D$6*$W89/(BB89^2),$W89/$D$6)*($AW89*$F89-$AV89*SIN(ACOS($F89))),-$W89*SIN(ACOS($F89))))+SUMIF(INICIO,$B89,R_IM),0))</f>
      </c>
      <c r="AL89" s="273">
        <f t="shared" si="133"/>
      </c>
      <c r="AM89" s="40">
        <f>IF(B89="","",I89*IF($H$14="Sí",IF(OR($D89="S",$D89="RST"),IF($D$2="Sí",IF($G89="Motor",$D$6*$W89/(BC89^2),$W89/$D$6)*($AX89*$F89+$AY89*SIN(ACOS($F89))),-$W89*$F89/2-SQRT(3)/2*$W89*SIN(ACOS($F89))))+SUMIF(INICIO,$B89,S_RE),0))</f>
      </c>
      <c r="AN89" s="40">
        <f>IF(B89="","",I89*IF($H$14="Sí",IF(OR($D89="S",$D89="RST"),IF($D$2="Sí",IF($G89="Motor",$D$6*$W89/(BC89^2),$W89/$D$6)*($AY89*$F89-$AX89*SIN(ACOS($F89))),-SQRT(3)/2*$W89*$F89+0.5*$W89*SIN(ACOS($F89))))+SUMIF(INICIO,$B89,S_IM),0))</f>
      </c>
      <c r="AO89" s="273">
        <f t="shared" si="134"/>
      </c>
      <c r="AP89" s="40">
        <f>IF(B89="","",I89*IF($I$14="Sí",IF(OR($D89="T",$D89="RST"),IF($D$2="Sí",IF($G89="Motor",$D$6*$W89/(BD89^2),$W89/$D$6)*($AZ89*$F89+$BA89*SIN(ACOS($F89))),-$W89*$F89/2+SQRT(3)/2*$W89*SIN(ACOS($F89))))+SUMIF(INICIO,$B89,T_RE),0))</f>
      </c>
      <c r="AQ89" s="272">
        <f>IF(B89="","",I89*IF($I$14="Sí",IF(OR($D89="T",$D89="RST"),IF($D$2="Sí",IF($G89="Motor",$D$6*$W89/(BD89^2),$W89/$D$6)*($BA89*$F89-$AZ89*SIN(ACOS($F89))),SQRT(3)/2*$W89*$F89+0.5*$W89*SIN(ACOS($F89))))+SUMIF(INICIO,$B89,T_IM),0))</f>
      </c>
      <c r="AR89" s="40">
        <f t="shared" si="135"/>
      </c>
      <c r="AS89" s="40">
        <f t="shared" si="136"/>
      </c>
      <c r="AT89" s="40">
        <f t="shared" si="137"/>
      </c>
      <c r="AU89" s="40">
        <f t="shared" si="138"/>
      </c>
      <c r="AV89" s="73">
        <f aca="true" t="shared" si="152" ref="AV89:AV100">IF(B89="","",SUMIF(FINAL,$A89,ac_R_Re)-($X89*$AJ89-$AB89*$AK89)-($AA89*$AS89-$AC89*$AT89))</f>
      </c>
      <c r="AW89" s="73">
        <f aca="true" t="shared" si="153" ref="AW89:AW100">IF(B89="","",SUMIF(FINAL,$A89,ac_R_Im)-($X89*$AK89+$AB89*$AJ89)-($AA89*$AT89+$AC89*$AS89))</f>
      </c>
      <c r="AX89" s="73">
        <f aca="true" t="shared" si="154" ref="AX89:AX100">IF(B89="","",SUMIF(FINAL,$A89,ac_S_Re)-($Y89*$AM89-$AB89*$AN89)-($AA89*$AS89-$AC89*$AT89))</f>
      </c>
      <c r="AY89" s="73">
        <f aca="true" t="shared" si="155" ref="AY89:AY100">IF(B89="","",SUMIF(FINAL,$A89,ac_S_Im)-($Y89*$AN89+$AB89*$AM89)-($AA89*$AT89+$AC89*$AS89))</f>
      </c>
      <c r="AZ89" s="73">
        <f aca="true" t="shared" si="156" ref="AZ89:AZ100">IF(B89="","",SUMIF(FINAL,$A89,ac_T_Re)-($Z89*$AP89-$AB89*$AQ89)-($AA89*$AS89-$AC89*$AT89))</f>
      </c>
      <c r="BA89" s="73">
        <f aca="true" t="shared" si="157" ref="BA89:BA100">IF(B89="","",SUMIF(FINAL,$A89,ac_T_Im)-($Z89*$AQ89+$AB89*$AP89)-($AA89*$AT89+$AC89*$AS89))</f>
      </c>
      <c r="BB89" s="73">
        <f aca="true" t="shared" si="158" ref="BB89:BB100">IF(B89="","",SQRT(AV89^2+AW89^2))</f>
      </c>
      <c r="BC89" s="73">
        <f aca="true" t="shared" si="159" ref="BC89:BC100">IF(B89="","",SQRT(AX89^2+AY89^2))</f>
      </c>
      <c r="BD89" s="73">
        <f aca="true" t="shared" si="160" ref="BD89:BD100">IF(B89="","",SQRT(AZ89^2+BA89^2))</f>
      </c>
      <c r="BE89" s="73">
        <f t="shared" si="139"/>
      </c>
      <c r="BF89" s="73">
        <f t="shared" si="140"/>
      </c>
      <c r="BG89" s="73">
        <f t="shared" si="141"/>
      </c>
      <c r="BH89" s="73">
        <f t="shared" si="119"/>
      </c>
      <c r="BI89" s="73">
        <f t="shared" si="96"/>
      </c>
      <c r="BJ89" s="73">
        <f t="shared" si="97"/>
      </c>
      <c r="BK89" s="40">
        <f aca="true" t="shared" si="161" ref="BK89:BK100">IF(B89="","",I89*(W89+SUMIF(INICIO,$B89,I_tramo)))</f>
      </c>
      <c r="BL89" s="40">
        <f aca="true" t="shared" si="162" ref="BL89:BL100">IF(B89="","",BK89-CC89+1.25*CC89)</f>
      </c>
      <c r="BM89" s="40">
        <f aca="true" t="shared" si="163" ref="BM89:BM100">IF(B89="","",SUMIF(FINAL,$A89,U_FINAL)-SQRT(3)*U89*CN89)</f>
      </c>
      <c r="BN89" s="40">
        <f t="shared" si="142"/>
      </c>
      <c r="BO89" s="40">
        <f t="shared" si="126"/>
      </c>
      <c r="BP89" s="40">
        <f t="shared" si="143"/>
      </c>
      <c r="BQ89" s="40">
        <f t="shared" si="144"/>
      </c>
      <c r="BR89" s="40">
        <f t="shared" si="145"/>
      </c>
      <c r="BS89" s="40">
        <f aca="true" t="shared" si="164" ref="BS89:BS100">IF(B89="","",100*($D$5-BR89)/$D$5)</f>
      </c>
      <c r="BT89" s="40">
        <f t="shared" si="108"/>
      </c>
      <c r="BU89" s="40">
        <f t="shared" si="146"/>
      </c>
      <c r="BV89" s="75">
        <f t="shared" si="147"/>
      </c>
      <c r="BW89" s="75">
        <f t="shared" si="148"/>
      </c>
      <c r="BX89" s="40">
        <f t="shared" si="127"/>
      </c>
      <c r="BY89" s="40">
        <f t="shared" si="128"/>
      </c>
      <c r="BZ89" s="61"/>
      <c r="CA89" s="73">
        <f t="shared" si="120"/>
      </c>
      <c r="CB89" s="84"/>
      <c r="CC89" s="73">
        <f aca="true" t="shared" si="165" ref="CC89:CC100">IF(FINAL="","",SUMIF(FINAL,$H89,I_nom_A))</f>
      </c>
      <c r="CD89" s="73">
        <f t="shared" si="85"/>
      </c>
      <c r="CE89" s="73">
        <f t="shared" si="86"/>
      </c>
      <c r="CF89" s="73">
        <f t="shared" si="87"/>
      </c>
      <c r="CG89" s="73">
        <f t="shared" si="121"/>
      </c>
      <c r="CH89" s="73">
        <f t="shared" si="122"/>
      </c>
      <c r="CI89" s="73">
        <f t="shared" si="123"/>
      </c>
      <c r="CJ89" s="76">
        <f t="shared" si="149"/>
      </c>
      <c r="CK89" s="76">
        <f aca="true" t="shared" si="166" ref="CK89:CK100">IF(B89="","",C89*IF(P89="Unipolar/Al",3,0))</f>
      </c>
      <c r="CL89" s="76">
        <f aca="true" t="shared" si="167" ref="CL89:CL100">IF(B89="","",C89*IF(P89="Tripolar/Cu",1,0))</f>
      </c>
      <c r="CM89" s="76">
        <f aca="true" t="shared" si="168" ref="CM89:CM100">IF(B89="","",C89*IF(P89="Tripolar/Al",1,0))</f>
      </c>
      <c r="CN89" s="40">
        <f t="shared" si="129"/>
      </c>
      <c r="CO89" s="40">
        <f t="shared" si="88"/>
      </c>
      <c r="CP89" s="40">
        <f t="shared" si="89"/>
      </c>
      <c r="CQ89" s="40">
        <f t="shared" si="90"/>
      </c>
      <c r="CR89" s="40">
        <f t="shared" si="91"/>
      </c>
      <c r="CS89" s="40">
        <f t="shared" si="81"/>
      </c>
      <c r="CT89" s="40">
        <f t="shared" si="150"/>
      </c>
      <c r="CU89" s="40">
        <f t="shared" si="93"/>
      </c>
      <c r="CV89" s="40">
        <f t="shared" si="94"/>
      </c>
      <c r="CW89" s="40">
        <f t="shared" si="95"/>
      </c>
      <c r="CX89" s="40">
        <f t="shared" si="82"/>
      </c>
      <c r="CY89" s="40">
        <f t="shared" si="83"/>
      </c>
      <c r="CZ89" s="40">
        <f t="shared" si="92"/>
      </c>
      <c r="DA89" s="40">
        <f t="shared" si="124"/>
      </c>
    </row>
    <row r="90" spans="1:105" ht="12.75">
      <c r="A90" s="54"/>
      <c r="B90" s="54"/>
      <c r="C90" s="54"/>
      <c r="D90" s="61"/>
      <c r="E90" s="54"/>
      <c r="F90" s="54"/>
      <c r="G90" s="61"/>
      <c r="H90" s="64"/>
      <c r="I90" s="54"/>
      <c r="J90" s="61"/>
      <c r="K90" s="61"/>
      <c r="L90" s="54"/>
      <c r="M90" s="61"/>
      <c r="N90" s="61"/>
      <c r="O90" s="61"/>
      <c r="P90" s="61"/>
      <c r="Q90" s="120"/>
      <c r="R90" s="120"/>
      <c r="S90" s="120"/>
      <c r="T90" s="120"/>
      <c r="U90" s="72">
        <f t="shared" si="110"/>
      </c>
      <c r="V90" s="72">
        <f t="shared" si="111"/>
      </c>
      <c r="W90" s="73">
        <f t="shared" si="112"/>
      </c>
      <c r="X90" s="72">
        <f t="shared" si="113"/>
      </c>
      <c r="Y90" s="72">
        <f t="shared" si="114"/>
      </c>
      <c r="Z90" s="72">
        <f t="shared" si="115"/>
      </c>
      <c r="AA90" s="72">
        <f t="shared" si="116"/>
      </c>
      <c r="AB90" s="72">
        <f t="shared" si="117"/>
      </c>
      <c r="AC90" s="72">
        <f t="shared" si="118"/>
      </c>
      <c r="AD90" s="74">
        <f t="shared" si="125"/>
      </c>
      <c r="AE90" s="73">
        <f t="shared" si="151"/>
      </c>
      <c r="AF90" s="40">
        <f t="shared" si="130"/>
      </c>
      <c r="AG90" s="40">
        <f t="shared" si="98"/>
      </c>
      <c r="AH90" s="40">
        <f t="shared" si="131"/>
      </c>
      <c r="AI90" s="270">
        <f t="shared" si="132"/>
      </c>
      <c r="AJ90" s="40">
        <f>IF($B90="","",I90*IF($G$14="Sí",IF(OR($D90="R",$D90="RST"),IF($D$2="Sí",IF($G90="Motor",$D$6*$W90/(BB90^2),$W90/$D$6)*($AV90*$F90+$AW90*SIN(ACOS($F90))),$W90*$F90))+SUMIF(INICIO,$B90,R_RE),0))</f>
      </c>
      <c r="AK90" s="40">
        <f>IF(B90="","",I90*IF($G$14="Sí",IF(OR($D90="R",$D90="RST"),IF($D$2="Sí",IF($G90="Motor",$D$6*$W90/(BB90^2),$W90/$D$6)*($AW90*$F90-$AV90*SIN(ACOS($F90))),-$W90*SIN(ACOS($F90))))+SUMIF(INICIO,$B90,R_IM),0))</f>
      </c>
      <c r="AL90" s="273">
        <f t="shared" si="133"/>
      </c>
      <c r="AM90" s="40">
        <f>IF(B90="","",I90*IF($H$14="Sí",IF(OR($D90="S",$D90="RST"),IF($D$2="Sí",IF($G90="Motor",$D$6*$W90/(BC90^2),$W90/$D$6)*($AX90*$F90+$AY90*SIN(ACOS($F90))),-$W90*$F90/2-SQRT(3)/2*$W90*SIN(ACOS($F90))))+SUMIF(INICIO,$B90,S_RE),0))</f>
      </c>
      <c r="AN90" s="40">
        <f>IF(B90="","",I90*IF($H$14="Sí",IF(OR($D90="S",$D90="RST"),IF($D$2="Sí",IF($G90="Motor",$D$6*$W90/(BC90^2),$W90/$D$6)*($AY90*$F90-$AX90*SIN(ACOS($F90))),-SQRT(3)/2*$W90*$F90+0.5*$W90*SIN(ACOS($F90))))+SUMIF(INICIO,$B90,S_IM),0))</f>
      </c>
      <c r="AO90" s="273">
        <f t="shared" si="134"/>
      </c>
      <c r="AP90" s="40">
        <f>IF(B90="","",I90*IF($I$14="Sí",IF(OR($D90="T",$D90="RST"),IF($D$2="Sí",IF($G90="Motor",$D$6*$W90/(BD90^2),$W90/$D$6)*($AZ90*$F90+$BA90*SIN(ACOS($F90))),-$W90*$F90/2+SQRT(3)/2*$W90*SIN(ACOS($F90))))+SUMIF(INICIO,$B90,T_RE),0))</f>
      </c>
      <c r="AQ90" s="272">
        <f>IF(B90="","",I90*IF($I$14="Sí",IF(OR($D90="T",$D90="RST"),IF($D$2="Sí",IF($G90="Motor",$D$6*$W90/(BD90^2),$W90/$D$6)*($BA90*$F90-$AZ90*SIN(ACOS($F90))),SQRT(3)/2*$W90*$F90+0.5*$W90*SIN(ACOS($F90))))+SUMIF(INICIO,$B90,T_IM),0))</f>
      </c>
      <c r="AR90" s="40">
        <f t="shared" si="135"/>
      </c>
      <c r="AS90" s="40">
        <f t="shared" si="136"/>
      </c>
      <c r="AT90" s="40">
        <f t="shared" si="137"/>
      </c>
      <c r="AU90" s="40">
        <f t="shared" si="138"/>
      </c>
      <c r="AV90" s="73">
        <f t="shared" si="152"/>
      </c>
      <c r="AW90" s="73">
        <f t="shared" si="153"/>
      </c>
      <c r="AX90" s="73">
        <f t="shared" si="154"/>
      </c>
      <c r="AY90" s="73">
        <f t="shared" si="155"/>
      </c>
      <c r="AZ90" s="73">
        <f t="shared" si="156"/>
      </c>
      <c r="BA90" s="73">
        <f t="shared" si="157"/>
      </c>
      <c r="BB90" s="73">
        <f t="shared" si="158"/>
      </c>
      <c r="BC90" s="73">
        <f t="shared" si="159"/>
      </c>
      <c r="BD90" s="73">
        <f t="shared" si="160"/>
      </c>
      <c r="BE90" s="73">
        <f t="shared" si="139"/>
      </c>
      <c r="BF90" s="73">
        <f t="shared" si="140"/>
      </c>
      <c r="BG90" s="73">
        <f t="shared" si="141"/>
      </c>
      <c r="BH90" s="73">
        <f t="shared" si="119"/>
      </c>
      <c r="BI90" s="73">
        <f t="shared" si="96"/>
      </c>
      <c r="BJ90" s="73">
        <f t="shared" si="97"/>
      </c>
      <c r="BK90" s="40">
        <f t="shared" si="161"/>
      </c>
      <c r="BL90" s="40">
        <f t="shared" si="162"/>
      </c>
      <c r="BM90" s="40">
        <f t="shared" si="163"/>
      </c>
      <c r="BN90" s="40">
        <f t="shared" si="142"/>
      </c>
      <c r="BO90" s="40">
        <f t="shared" si="126"/>
      </c>
      <c r="BP90" s="40">
        <f t="shared" si="143"/>
      </c>
      <c r="BQ90" s="40">
        <f t="shared" si="144"/>
      </c>
      <c r="BR90" s="40">
        <f t="shared" si="145"/>
      </c>
      <c r="BS90" s="40">
        <f t="shared" si="164"/>
      </c>
      <c r="BT90" s="40">
        <f t="shared" si="108"/>
      </c>
      <c r="BU90" s="40">
        <f t="shared" si="146"/>
      </c>
      <c r="BV90" s="75">
        <f t="shared" si="147"/>
      </c>
      <c r="BW90" s="75">
        <f t="shared" si="148"/>
      </c>
      <c r="BX90" s="40">
        <f t="shared" si="127"/>
      </c>
      <c r="BY90" s="40">
        <f t="shared" si="128"/>
      </c>
      <c r="BZ90" s="61"/>
      <c r="CA90" s="73">
        <f t="shared" si="120"/>
      </c>
      <c r="CB90" s="84"/>
      <c r="CC90" s="73">
        <f t="shared" si="165"/>
      </c>
      <c r="CD90" s="73">
        <f t="shared" si="85"/>
      </c>
      <c r="CE90" s="73">
        <f t="shared" si="86"/>
      </c>
      <c r="CF90" s="73">
        <f t="shared" si="87"/>
      </c>
      <c r="CG90" s="73">
        <f t="shared" si="121"/>
      </c>
      <c r="CH90" s="73">
        <f t="shared" si="122"/>
      </c>
      <c r="CI90" s="73">
        <f t="shared" si="123"/>
      </c>
      <c r="CJ90" s="76">
        <f t="shared" si="149"/>
      </c>
      <c r="CK90" s="76">
        <f t="shared" si="166"/>
      </c>
      <c r="CL90" s="76">
        <f t="shared" si="167"/>
      </c>
      <c r="CM90" s="76">
        <f t="shared" si="168"/>
      </c>
      <c r="CN90" s="40">
        <f t="shared" si="129"/>
      </c>
      <c r="CO90" s="40">
        <f t="shared" si="88"/>
      </c>
      <c r="CP90" s="40">
        <f t="shared" si="89"/>
      </c>
      <c r="CQ90" s="40">
        <f t="shared" si="90"/>
      </c>
      <c r="CR90" s="40">
        <f t="shared" si="91"/>
      </c>
      <c r="CS90" s="40">
        <f t="shared" si="81"/>
      </c>
      <c r="CT90" s="40">
        <f t="shared" si="150"/>
      </c>
      <c r="CU90" s="40">
        <f t="shared" si="93"/>
      </c>
      <c r="CV90" s="40">
        <f t="shared" si="94"/>
      </c>
      <c r="CW90" s="40">
        <f t="shared" si="95"/>
      </c>
      <c r="CX90" s="40">
        <f t="shared" si="82"/>
      </c>
      <c r="CY90" s="40">
        <f t="shared" si="83"/>
      </c>
      <c r="CZ90" s="40">
        <f t="shared" si="92"/>
      </c>
      <c r="DA90" s="40">
        <f t="shared" si="124"/>
      </c>
    </row>
    <row r="91" spans="1:105" ht="12.75">
      <c r="A91" s="54"/>
      <c r="B91" s="54"/>
      <c r="C91" s="54"/>
      <c r="D91" s="61"/>
      <c r="E91" s="54"/>
      <c r="F91" s="54"/>
      <c r="G91" s="61"/>
      <c r="H91" s="64"/>
      <c r="I91" s="54"/>
      <c r="J91" s="61"/>
      <c r="K91" s="61"/>
      <c r="L91" s="54"/>
      <c r="M91" s="61"/>
      <c r="N91" s="61"/>
      <c r="O91" s="61"/>
      <c r="P91" s="61"/>
      <c r="Q91" s="120"/>
      <c r="R91" s="120"/>
      <c r="S91" s="120"/>
      <c r="T91" s="120"/>
      <c r="U91" s="72">
        <f t="shared" si="110"/>
      </c>
      <c r="V91" s="72">
        <f t="shared" si="111"/>
      </c>
      <c r="W91" s="73">
        <f t="shared" si="112"/>
      </c>
      <c r="X91" s="72">
        <f t="shared" si="113"/>
      </c>
      <c r="Y91" s="72">
        <f t="shared" si="114"/>
      </c>
      <c r="Z91" s="72">
        <f t="shared" si="115"/>
      </c>
      <c r="AA91" s="72">
        <f t="shared" si="116"/>
      </c>
      <c r="AB91" s="72">
        <f t="shared" si="117"/>
      </c>
      <c r="AC91" s="72">
        <f t="shared" si="118"/>
      </c>
      <c r="AD91" s="74">
        <f t="shared" si="125"/>
      </c>
      <c r="AE91" s="73">
        <f t="shared" si="151"/>
      </c>
      <c r="AF91" s="40">
        <f t="shared" si="130"/>
      </c>
      <c r="AG91" s="40">
        <f t="shared" si="98"/>
      </c>
      <c r="AH91" s="40">
        <f t="shared" si="131"/>
      </c>
      <c r="AI91" s="270">
        <f t="shared" si="132"/>
      </c>
      <c r="AJ91" s="40">
        <f>IF($B91="","",I91*IF($G$14="Sí",IF(OR($D91="R",$D91="RST"),IF($D$2="Sí",IF($G91="Motor",$D$6*$W91/(BB91^2),$W91/$D$6)*($AV91*$F91+$AW91*SIN(ACOS($F91))),$W91*$F91))+SUMIF(INICIO,$B91,R_RE),0))</f>
      </c>
      <c r="AK91" s="40">
        <f>IF(B91="","",I91*IF($G$14="Sí",IF(OR($D91="R",$D91="RST"),IF($D$2="Sí",IF($G91="Motor",$D$6*$W91/(BB91^2),$W91/$D$6)*($AW91*$F91-$AV91*SIN(ACOS($F91))),-$W91*SIN(ACOS($F91))))+SUMIF(INICIO,$B91,R_IM),0))</f>
      </c>
      <c r="AL91" s="273">
        <f t="shared" si="133"/>
      </c>
      <c r="AM91" s="40">
        <f>IF(B91="","",I91*IF($H$14="Sí",IF(OR($D91="S",$D91="RST"),IF($D$2="Sí",IF($G91="Motor",$D$6*$W91/(BC91^2),$W91/$D$6)*($AX91*$F91+$AY91*SIN(ACOS($F91))),-$W91*$F91/2-SQRT(3)/2*$W91*SIN(ACOS($F91))))+SUMIF(INICIO,$B91,S_RE),0))</f>
      </c>
      <c r="AN91" s="40">
        <f>IF(B91="","",I91*IF($H$14="Sí",IF(OR($D91="S",$D91="RST"),IF($D$2="Sí",IF($G91="Motor",$D$6*$W91/(BC91^2),$W91/$D$6)*($AY91*$F91-$AX91*SIN(ACOS($F91))),-SQRT(3)/2*$W91*$F91+0.5*$W91*SIN(ACOS($F91))))+SUMIF(INICIO,$B91,S_IM),0))</f>
      </c>
      <c r="AO91" s="273">
        <f t="shared" si="134"/>
      </c>
      <c r="AP91" s="40">
        <f>IF(B91="","",I91*IF($I$14="Sí",IF(OR($D91="T",$D91="RST"),IF($D$2="Sí",IF($G91="Motor",$D$6*$W91/(BD91^2),$W91/$D$6)*($AZ91*$F91+$BA91*SIN(ACOS($F91))),-$W91*$F91/2+SQRT(3)/2*$W91*SIN(ACOS($F91))))+SUMIF(INICIO,$B91,T_RE),0))</f>
      </c>
      <c r="AQ91" s="272">
        <f>IF(B91="","",I91*IF($I$14="Sí",IF(OR($D91="T",$D91="RST"),IF($D$2="Sí",IF($G91="Motor",$D$6*$W91/(BD91^2),$W91/$D$6)*($BA91*$F91-$AZ91*SIN(ACOS($F91))),SQRT(3)/2*$W91*$F91+0.5*$W91*SIN(ACOS($F91))))+SUMIF(INICIO,$B91,T_IM),0))</f>
      </c>
      <c r="AR91" s="40">
        <f t="shared" si="135"/>
      </c>
      <c r="AS91" s="40">
        <f t="shared" si="136"/>
      </c>
      <c r="AT91" s="40">
        <f t="shared" si="137"/>
      </c>
      <c r="AU91" s="40">
        <f t="shared" si="138"/>
      </c>
      <c r="AV91" s="73">
        <f t="shared" si="152"/>
      </c>
      <c r="AW91" s="73">
        <f t="shared" si="153"/>
      </c>
      <c r="AX91" s="73">
        <f t="shared" si="154"/>
      </c>
      <c r="AY91" s="73">
        <f t="shared" si="155"/>
      </c>
      <c r="AZ91" s="73">
        <f t="shared" si="156"/>
      </c>
      <c r="BA91" s="73">
        <f t="shared" si="157"/>
      </c>
      <c r="BB91" s="73">
        <f t="shared" si="158"/>
      </c>
      <c r="BC91" s="73">
        <f t="shared" si="159"/>
      </c>
      <c r="BD91" s="73">
        <f t="shared" si="160"/>
      </c>
      <c r="BE91" s="73">
        <f t="shared" si="139"/>
      </c>
      <c r="BF91" s="73">
        <f t="shared" si="140"/>
      </c>
      <c r="BG91" s="73">
        <f t="shared" si="141"/>
      </c>
      <c r="BH91" s="73">
        <f t="shared" si="119"/>
      </c>
      <c r="BI91" s="73">
        <f t="shared" si="96"/>
      </c>
      <c r="BJ91" s="73">
        <f t="shared" si="97"/>
      </c>
      <c r="BK91" s="40">
        <f t="shared" si="161"/>
      </c>
      <c r="BL91" s="40">
        <f t="shared" si="162"/>
      </c>
      <c r="BM91" s="40">
        <f t="shared" si="163"/>
      </c>
      <c r="BN91" s="40">
        <f t="shared" si="142"/>
      </c>
      <c r="BO91" s="40">
        <f t="shared" si="126"/>
      </c>
      <c r="BP91" s="40">
        <f t="shared" si="143"/>
      </c>
      <c r="BQ91" s="40">
        <f t="shared" si="144"/>
      </c>
      <c r="BR91" s="40">
        <f t="shared" si="145"/>
      </c>
      <c r="BS91" s="40">
        <f t="shared" si="164"/>
      </c>
      <c r="BT91" s="40">
        <f t="shared" si="108"/>
      </c>
      <c r="BU91" s="40">
        <f t="shared" si="146"/>
      </c>
      <c r="BV91" s="75">
        <f t="shared" si="147"/>
      </c>
      <c r="BW91" s="75">
        <f t="shared" si="148"/>
      </c>
      <c r="BX91" s="40">
        <f t="shared" si="127"/>
      </c>
      <c r="BY91" s="40">
        <f t="shared" si="128"/>
      </c>
      <c r="BZ91" s="61"/>
      <c r="CA91" s="73">
        <f t="shared" si="120"/>
      </c>
      <c r="CB91" s="84"/>
      <c r="CC91" s="73">
        <f t="shared" si="165"/>
      </c>
      <c r="CD91" s="73">
        <f t="shared" si="85"/>
      </c>
      <c r="CE91" s="73">
        <f t="shared" si="86"/>
      </c>
      <c r="CF91" s="73">
        <f t="shared" si="87"/>
      </c>
      <c r="CG91" s="73">
        <f t="shared" si="121"/>
      </c>
      <c r="CH91" s="73">
        <f t="shared" si="122"/>
      </c>
      <c r="CI91" s="73">
        <f t="shared" si="123"/>
      </c>
      <c r="CJ91" s="76">
        <f t="shared" si="149"/>
      </c>
      <c r="CK91" s="76">
        <f t="shared" si="166"/>
      </c>
      <c r="CL91" s="76">
        <f t="shared" si="167"/>
      </c>
      <c r="CM91" s="76">
        <f t="shared" si="168"/>
      </c>
      <c r="CN91" s="40">
        <f t="shared" si="129"/>
      </c>
      <c r="CO91" s="40">
        <f t="shared" si="88"/>
      </c>
      <c r="CP91" s="40">
        <f t="shared" si="89"/>
      </c>
      <c r="CQ91" s="40">
        <f t="shared" si="90"/>
      </c>
      <c r="CR91" s="40">
        <f t="shared" si="91"/>
      </c>
      <c r="CS91" s="40">
        <f t="shared" si="81"/>
      </c>
      <c r="CT91" s="40">
        <f t="shared" si="150"/>
      </c>
      <c r="CU91" s="40">
        <f t="shared" si="93"/>
      </c>
      <c r="CV91" s="40">
        <f t="shared" si="94"/>
      </c>
      <c r="CW91" s="40">
        <f t="shared" si="95"/>
      </c>
      <c r="CX91" s="40">
        <f t="shared" si="82"/>
      </c>
      <c r="CY91" s="40">
        <f t="shared" si="83"/>
      </c>
      <c r="CZ91" s="40">
        <f t="shared" si="92"/>
      </c>
      <c r="DA91" s="40">
        <f t="shared" si="124"/>
      </c>
    </row>
    <row r="92" spans="1:105" ht="12.75">
      <c r="A92" s="54"/>
      <c r="B92" s="54"/>
      <c r="C92" s="54"/>
      <c r="D92" s="61"/>
      <c r="E92" s="54"/>
      <c r="F92" s="54"/>
      <c r="G92" s="61"/>
      <c r="H92" s="64"/>
      <c r="I92" s="54"/>
      <c r="J92" s="61"/>
      <c r="K92" s="61"/>
      <c r="L92" s="54"/>
      <c r="M92" s="61"/>
      <c r="N92" s="61"/>
      <c r="O92" s="61"/>
      <c r="P92" s="61"/>
      <c r="Q92" s="120"/>
      <c r="R92" s="120"/>
      <c r="S92" s="120"/>
      <c r="T92" s="120"/>
      <c r="U92" s="72">
        <f t="shared" si="110"/>
      </c>
      <c r="V92" s="72">
        <f t="shared" si="111"/>
      </c>
      <c r="W92" s="73">
        <f t="shared" si="112"/>
      </c>
      <c r="X92" s="72">
        <f t="shared" si="113"/>
      </c>
      <c r="Y92" s="72">
        <f t="shared" si="114"/>
      </c>
      <c r="Z92" s="72">
        <f t="shared" si="115"/>
      </c>
      <c r="AA92" s="72">
        <f t="shared" si="116"/>
      </c>
      <c r="AB92" s="72">
        <f t="shared" si="117"/>
      </c>
      <c r="AC92" s="72">
        <f t="shared" si="118"/>
      </c>
      <c r="AD92" s="74">
        <f t="shared" si="125"/>
      </c>
      <c r="AE92" s="73">
        <f t="shared" si="151"/>
      </c>
      <c r="AF92" s="40">
        <f t="shared" si="130"/>
      </c>
      <c r="AG92" s="40">
        <f t="shared" si="98"/>
      </c>
      <c r="AH92" s="40">
        <f t="shared" si="131"/>
      </c>
      <c r="AI92" s="270">
        <f t="shared" si="132"/>
      </c>
      <c r="AJ92" s="40">
        <f>IF($B92="","",I92*IF($G$14="Sí",IF(OR($D92="R",$D92="RST"),IF($D$2="Sí",IF($G92="Motor",$D$6*$W92/(BB92^2),$W92/$D$6)*($AV92*$F92+$AW92*SIN(ACOS($F92))),$W92*$F92))+SUMIF(INICIO,$B92,R_RE),0))</f>
      </c>
      <c r="AK92" s="40">
        <f>IF(B92="","",I92*IF($G$14="Sí",IF(OR($D92="R",$D92="RST"),IF($D$2="Sí",IF($G92="Motor",$D$6*$W92/(BB92^2),$W92/$D$6)*($AW92*$F92-$AV92*SIN(ACOS($F92))),-$W92*SIN(ACOS($F92))))+SUMIF(INICIO,$B92,R_IM),0))</f>
      </c>
      <c r="AL92" s="273">
        <f t="shared" si="133"/>
      </c>
      <c r="AM92" s="40">
        <f>IF(B92="","",I92*IF($H$14="Sí",IF(OR($D92="S",$D92="RST"),IF($D$2="Sí",IF($G92="Motor",$D$6*$W92/(BC92^2),$W92/$D$6)*($AX92*$F92+$AY92*SIN(ACOS($F92))),-$W92*$F92/2-SQRT(3)/2*$W92*SIN(ACOS($F92))))+SUMIF(INICIO,$B92,S_RE),0))</f>
      </c>
      <c r="AN92" s="40">
        <f>IF(B92="","",I92*IF($H$14="Sí",IF(OR($D92="S",$D92="RST"),IF($D$2="Sí",IF($G92="Motor",$D$6*$W92/(BC92^2),$W92/$D$6)*($AY92*$F92-$AX92*SIN(ACOS($F92))),-SQRT(3)/2*$W92*$F92+0.5*$W92*SIN(ACOS($F92))))+SUMIF(INICIO,$B92,S_IM),0))</f>
      </c>
      <c r="AO92" s="273">
        <f t="shared" si="134"/>
      </c>
      <c r="AP92" s="40">
        <f>IF(B92="","",I92*IF($I$14="Sí",IF(OR($D92="T",$D92="RST"),IF($D$2="Sí",IF($G92="Motor",$D$6*$W92/(BD92^2),$W92/$D$6)*($AZ92*$F92+$BA92*SIN(ACOS($F92))),-$W92*$F92/2+SQRT(3)/2*$W92*SIN(ACOS($F92))))+SUMIF(INICIO,$B92,T_RE),0))</f>
      </c>
      <c r="AQ92" s="272">
        <f>IF(B92="","",I92*IF($I$14="Sí",IF(OR($D92="T",$D92="RST"),IF($D$2="Sí",IF($G92="Motor",$D$6*$W92/(BD92^2),$W92/$D$6)*($BA92*$F92-$AZ92*SIN(ACOS($F92))),SQRT(3)/2*$W92*$F92+0.5*$W92*SIN(ACOS($F92))))+SUMIF(INICIO,$B92,T_IM),0))</f>
      </c>
      <c r="AR92" s="40">
        <f t="shared" si="135"/>
      </c>
      <c r="AS92" s="40">
        <f t="shared" si="136"/>
      </c>
      <c r="AT92" s="40">
        <f t="shared" si="137"/>
      </c>
      <c r="AU92" s="40">
        <f t="shared" si="138"/>
      </c>
      <c r="AV92" s="73">
        <f t="shared" si="152"/>
      </c>
      <c r="AW92" s="73">
        <f t="shared" si="153"/>
      </c>
      <c r="AX92" s="73">
        <f t="shared" si="154"/>
      </c>
      <c r="AY92" s="73">
        <f t="shared" si="155"/>
      </c>
      <c r="AZ92" s="73">
        <f t="shared" si="156"/>
      </c>
      <c r="BA92" s="73">
        <f t="shared" si="157"/>
      </c>
      <c r="BB92" s="73">
        <f t="shared" si="158"/>
      </c>
      <c r="BC92" s="73">
        <f t="shared" si="159"/>
      </c>
      <c r="BD92" s="73">
        <f t="shared" si="160"/>
      </c>
      <c r="BE92" s="73">
        <f t="shared" si="139"/>
      </c>
      <c r="BF92" s="73">
        <f t="shared" si="140"/>
      </c>
      <c r="BG92" s="73">
        <f t="shared" si="141"/>
      </c>
      <c r="BH92" s="73">
        <f t="shared" si="119"/>
      </c>
      <c r="BI92" s="73">
        <f t="shared" si="96"/>
      </c>
      <c r="BJ92" s="73">
        <f t="shared" si="97"/>
      </c>
      <c r="BK92" s="40">
        <f t="shared" si="161"/>
      </c>
      <c r="BL92" s="40">
        <f t="shared" si="162"/>
      </c>
      <c r="BM92" s="40">
        <f t="shared" si="163"/>
      </c>
      <c r="BN92" s="40">
        <f t="shared" si="142"/>
      </c>
      <c r="BO92" s="40">
        <f t="shared" si="126"/>
      </c>
      <c r="BP92" s="40">
        <f t="shared" si="143"/>
      </c>
      <c r="BQ92" s="40">
        <f t="shared" si="144"/>
      </c>
      <c r="BR92" s="40">
        <f t="shared" si="145"/>
      </c>
      <c r="BS92" s="40">
        <f t="shared" si="164"/>
      </c>
      <c r="BT92" s="40">
        <f t="shared" si="108"/>
      </c>
      <c r="BU92" s="40">
        <f t="shared" si="146"/>
      </c>
      <c r="BV92" s="75">
        <f t="shared" si="147"/>
      </c>
      <c r="BW92" s="75">
        <f t="shared" si="148"/>
      </c>
      <c r="BX92" s="40">
        <f t="shared" si="127"/>
      </c>
      <c r="BY92" s="40">
        <f t="shared" si="128"/>
      </c>
      <c r="BZ92" s="61"/>
      <c r="CA92" s="73">
        <f t="shared" si="120"/>
      </c>
      <c r="CB92" s="84"/>
      <c r="CC92" s="73">
        <f t="shared" si="165"/>
      </c>
      <c r="CD92" s="73">
        <f aca="true" t="shared" si="169" ref="CD92:CD100">IF(A92="","",IF(OR($D92="R",$D92="RST"),1,0))</f>
      </c>
      <c r="CE92" s="73">
        <f aca="true" t="shared" si="170" ref="CE92:CE100">IF(A92="","",IF(OR($D92="S",$D92="RST"),1,0))</f>
      </c>
      <c r="CF92" s="73">
        <f aca="true" t="shared" si="171" ref="CF92:CF100">IF(A92="","",IF(OR($D92="T",$D92="RST"),1,0))</f>
      </c>
      <c r="CG92" s="73">
        <f t="shared" si="121"/>
      </c>
      <c r="CH92" s="73">
        <f t="shared" si="122"/>
      </c>
      <c r="CI92" s="73">
        <f t="shared" si="123"/>
      </c>
      <c r="CJ92" s="76">
        <f t="shared" si="149"/>
      </c>
      <c r="CK92" s="76">
        <f t="shared" si="166"/>
      </c>
      <c r="CL92" s="76">
        <f t="shared" si="167"/>
      </c>
      <c r="CM92" s="76">
        <f t="shared" si="168"/>
      </c>
      <c r="CN92" s="40">
        <f t="shared" si="129"/>
      </c>
      <c r="CO92" s="40">
        <f aca="true" t="shared" si="172" ref="CO92:CO100">IF(B92="","",AL92-CG92+1.25*CG92)</f>
      </c>
      <c r="CP92" s="40">
        <f aca="true" t="shared" si="173" ref="CP92:CP100">IF(B92="","",AO92-CH92+1.25*CH92)</f>
      </c>
      <c r="CQ92" s="40">
        <f aca="true" t="shared" si="174" ref="CQ92:CQ100">IF(B92="","",AR92-CI92+1.25*CI92)</f>
      </c>
      <c r="CR92" s="40">
        <f aca="true" t="shared" si="175" ref="CR92:CR100">IF($B92="","",I92*IF($G$14="Sí",IF(OR($D92="R",$D92="RST"),$W92)+SUMIF(INICIO,$B92,I_tramoR),0))</f>
      </c>
      <c r="CS92" s="40">
        <f t="shared" si="81"/>
      </c>
      <c r="CT92" s="40">
        <f t="shared" si="150"/>
      </c>
      <c r="CU92" s="40">
        <f t="shared" si="93"/>
      </c>
      <c r="CV92" s="40">
        <f t="shared" si="94"/>
      </c>
      <c r="CW92" s="40">
        <f t="shared" si="95"/>
      </c>
      <c r="CX92" s="40">
        <f t="shared" si="82"/>
      </c>
      <c r="CY92" s="40">
        <f t="shared" si="83"/>
      </c>
      <c r="CZ92" s="40">
        <f t="shared" si="92"/>
      </c>
      <c r="DA92" s="40">
        <f t="shared" si="124"/>
      </c>
    </row>
    <row r="93" spans="1:105" ht="12.75">
      <c r="A93" s="54"/>
      <c r="B93" s="54"/>
      <c r="C93" s="54"/>
      <c r="D93" s="61"/>
      <c r="E93" s="54"/>
      <c r="F93" s="54"/>
      <c r="G93" s="61"/>
      <c r="H93" s="64"/>
      <c r="I93" s="54"/>
      <c r="J93" s="61"/>
      <c r="K93" s="61"/>
      <c r="L93" s="54"/>
      <c r="M93" s="61"/>
      <c r="N93" s="61"/>
      <c r="O93" s="61"/>
      <c r="P93" s="61"/>
      <c r="Q93" s="120"/>
      <c r="R93" s="120"/>
      <c r="S93" s="120"/>
      <c r="T93" s="120"/>
      <c r="U93" s="72">
        <f t="shared" si="110"/>
      </c>
      <c r="V93" s="72">
        <f t="shared" si="111"/>
      </c>
      <c r="W93" s="73">
        <f t="shared" si="112"/>
      </c>
      <c r="X93" s="72">
        <f t="shared" si="113"/>
      </c>
      <c r="Y93" s="72">
        <f t="shared" si="114"/>
      </c>
      <c r="Z93" s="72">
        <f t="shared" si="115"/>
      </c>
      <c r="AA93" s="72">
        <f t="shared" si="116"/>
      </c>
      <c r="AB93" s="72">
        <f t="shared" si="117"/>
      </c>
      <c r="AC93" s="72">
        <f t="shared" si="118"/>
      </c>
      <c r="AD93" s="74">
        <f t="shared" si="125"/>
      </c>
      <c r="AE93" s="73">
        <f t="shared" si="151"/>
      </c>
      <c r="AF93" s="40">
        <f t="shared" si="130"/>
      </c>
      <c r="AG93" s="40">
        <f t="shared" si="98"/>
      </c>
      <c r="AH93" s="40">
        <f t="shared" si="131"/>
      </c>
      <c r="AI93" s="270">
        <f t="shared" si="132"/>
      </c>
      <c r="AJ93" s="40">
        <f>IF($B93="","",I93*IF($G$14="Sí",IF(OR($D93="R",$D93="RST"),IF($D$2="Sí",IF($G93="Motor",$D$6*$W93/(BB93^2),$W93/$D$6)*($AV93*$F93+$AW93*SIN(ACOS($F93))),$W93*$F93))+SUMIF(INICIO,$B93,R_RE),0))</f>
      </c>
      <c r="AK93" s="40">
        <f>IF(B93="","",I93*IF($G$14="Sí",IF(OR($D93="R",$D93="RST"),IF($D$2="Sí",IF($G93="Motor",$D$6*$W93/(BB93^2),$W93/$D$6)*($AW93*$F93-$AV93*SIN(ACOS($F93))),-$W93*SIN(ACOS($F93))))+SUMIF(INICIO,$B93,R_IM),0))</f>
      </c>
      <c r="AL93" s="273">
        <f t="shared" si="133"/>
      </c>
      <c r="AM93" s="40">
        <f>IF(B93="","",I93*IF($H$14="Sí",IF(OR($D93="S",$D93="RST"),IF($D$2="Sí",IF($G93="Motor",$D$6*$W93/(BC93^2),$W93/$D$6)*($AX93*$F93+$AY93*SIN(ACOS($F93))),-$W93*$F93/2-SQRT(3)/2*$W93*SIN(ACOS($F93))))+SUMIF(INICIO,$B93,S_RE),0))</f>
      </c>
      <c r="AN93" s="40">
        <f>IF(B93="","",I93*IF($H$14="Sí",IF(OR($D93="S",$D93="RST"),IF($D$2="Sí",IF($G93="Motor",$D$6*$W93/(BC93^2),$W93/$D$6)*($AY93*$F93-$AX93*SIN(ACOS($F93))),-SQRT(3)/2*$W93*$F93+0.5*$W93*SIN(ACOS($F93))))+SUMIF(INICIO,$B93,S_IM),0))</f>
      </c>
      <c r="AO93" s="273">
        <f t="shared" si="134"/>
      </c>
      <c r="AP93" s="40">
        <f>IF(B93="","",I93*IF($I$14="Sí",IF(OR($D93="T",$D93="RST"),IF($D$2="Sí",IF($G93="Motor",$D$6*$W93/(BD93^2),$W93/$D$6)*($AZ93*$F93+$BA93*SIN(ACOS($F93))),-$W93*$F93/2+SQRT(3)/2*$W93*SIN(ACOS($F93))))+SUMIF(INICIO,$B93,T_RE),0))</f>
      </c>
      <c r="AQ93" s="272">
        <f>IF(B93="","",I93*IF($I$14="Sí",IF(OR($D93="T",$D93="RST"),IF($D$2="Sí",IF($G93="Motor",$D$6*$W93/(BD93^2),$W93/$D$6)*($BA93*$F93-$AZ93*SIN(ACOS($F93))),SQRT(3)/2*$W93*$F93+0.5*$W93*SIN(ACOS($F93))))+SUMIF(INICIO,$B93,T_IM),0))</f>
      </c>
      <c r="AR93" s="40">
        <f t="shared" si="135"/>
      </c>
      <c r="AS93" s="40">
        <f t="shared" si="136"/>
      </c>
      <c r="AT93" s="40">
        <f t="shared" si="137"/>
      </c>
      <c r="AU93" s="40">
        <f t="shared" si="138"/>
      </c>
      <c r="AV93" s="73">
        <f t="shared" si="152"/>
      </c>
      <c r="AW93" s="73">
        <f t="shared" si="153"/>
      </c>
      <c r="AX93" s="73">
        <f t="shared" si="154"/>
      </c>
      <c r="AY93" s="73">
        <f t="shared" si="155"/>
      </c>
      <c r="AZ93" s="73">
        <f t="shared" si="156"/>
      </c>
      <c r="BA93" s="73">
        <f t="shared" si="157"/>
      </c>
      <c r="BB93" s="73">
        <f t="shared" si="158"/>
      </c>
      <c r="BC93" s="73">
        <f t="shared" si="159"/>
      </c>
      <c r="BD93" s="73">
        <f t="shared" si="160"/>
      </c>
      <c r="BE93" s="73">
        <f t="shared" si="139"/>
      </c>
      <c r="BF93" s="73">
        <f t="shared" si="140"/>
      </c>
      <c r="BG93" s="73">
        <f t="shared" si="141"/>
      </c>
      <c r="BH93" s="73">
        <f t="shared" si="119"/>
      </c>
      <c r="BI93" s="73">
        <f t="shared" si="96"/>
      </c>
      <c r="BJ93" s="73">
        <f t="shared" si="97"/>
      </c>
      <c r="BK93" s="40">
        <f t="shared" si="161"/>
      </c>
      <c r="BL93" s="40">
        <f t="shared" si="162"/>
      </c>
      <c r="BM93" s="40">
        <f t="shared" si="163"/>
      </c>
      <c r="BN93" s="40">
        <f t="shared" si="142"/>
      </c>
      <c r="BO93" s="40">
        <f t="shared" si="126"/>
      </c>
      <c r="BP93" s="40">
        <f t="shared" si="143"/>
      </c>
      <c r="BQ93" s="40">
        <f t="shared" si="144"/>
      </c>
      <c r="BR93" s="40">
        <f t="shared" si="145"/>
      </c>
      <c r="BS93" s="40">
        <f t="shared" si="164"/>
      </c>
      <c r="BT93" s="40">
        <f t="shared" si="108"/>
      </c>
      <c r="BU93" s="40">
        <f t="shared" si="146"/>
      </c>
      <c r="BV93" s="75">
        <f t="shared" si="147"/>
      </c>
      <c r="BW93" s="75">
        <f t="shared" si="148"/>
      </c>
      <c r="BX93" s="40">
        <f t="shared" si="127"/>
      </c>
      <c r="BY93" s="40">
        <f t="shared" si="128"/>
      </c>
      <c r="BZ93" s="61"/>
      <c r="CA93" s="73">
        <f t="shared" si="120"/>
      </c>
      <c r="CB93" s="84"/>
      <c r="CC93" s="73">
        <f t="shared" si="165"/>
      </c>
      <c r="CD93" s="73">
        <f t="shared" si="169"/>
      </c>
      <c r="CE93" s="73">
        <f t="shared" si="170"/>
      </c>
      <c r="CF93" s="73">
        <f t="shared" si="171"/>
      </c>
      <c r="CG93" s="73">
        <f t="shared" si="121"/>
      </c>
      <c r="CH93" s="73">
        <f t="shared" si="122"/>
      </c>
      <c r="CI93" s="73">
        <f t="shared" si="123"/>
      </c>
      <c r="CJ93" s="76">
        <f t="shared" si="149"/>
      </c>
      <c r="CK93" s="76">
        <f t="shared" si="166"/>
      </c>
      <c r="CL93" s="76">
        <f t="shared" si="167"/>
      </c>
      <c r="CM93" s="76">
        <f t="shared" si="168"/>
      </c>
      <c r="CN93" s="40">
        <f t="shared" si="129"/>
      </c>
      <c r="CO93" s="40">
        <f t="shared" si="172"/>
      </c>
      <c r="CP93" s="40">
        <f t="shared" si="173"/>
      </c>
      <c r="CQ93" s="40">
        <f t="shared" si="174"/>
      </c>
      <c r="CR93" s="40">
        <f t="shared" si="175"/>
      </c>
      <c r="CS93" s="40">
        <f aca="true" t="shared" si="176" ref="CS93:CS100">IF($B93="","",I93*IF($H$14="Sí",IF(OR($D93="S",$D93="RST"),$W93)+SUMIF(INICIO,$B93,I_tramoS),0))</f>
      </c>
      <c r="CT93" s="40">
        <f t="shared" si="150"/>
      </c>
      <c r="CU93" s="40">
        <f aca="true" t="shared" si="177" ref="CU93:CU100">IF(B93="","",CR93-CG93+1.25*CG93)</f>
      </c>
      <c r="CV93" s="40">
        <f aca="true" t="shared" si="178" ref="CV93:CV100">IF(B93="","",CS93-CH93+1.25*CH93)</f>
      </c>
      <c r="CW93" s="40">
        <f aca="true" t="shared" si="179" ref="CW93:CW100">IF(B93="","",CT93-CI93+1.25*CI93)</f>
      </c>
      <c r="CX93" s="40">
        <f aca="true" t="shared" si="180" ref="CX93:CX100">IF($B93="","",I93*IF($G$14="Sí",IF(OR($D93="R",$D93="RST"),$W93*F93)+SUMIF(INICIO,$B93,IR_cosfi),0))</f>
      </c>
      <c r="CY93" s="40">
        <f aca="true" t="shared" si="181" ref="CY93:CY100">IF($B93="","",I93*IF($H$14="Sí",IF(OR($D93="S",$D93="RST"),$W93*F93)+SUMIF(INICIO,$B93,IS_cosfi),0))</f>
      </c>
      <c r="CZ93" s="40">
        <f t="shared" si="92"/>
      </c>
      <c r="DA93" s="40">
        <f t="shared" si="124"/>
      </c>
    </row>
    <row r="94" spans="1:105" ht="12.75">
      <c r="A94" s="54"/>
      <c r="B94" s="54"/>
      <c r="C94" s="54"/>
      <c r="D94" s="61"/>
      <c r="E94" s="54"/>
      <c r="F94" s="54"/>
      <c r="G94" s="61"/>
      <c r="H94" s="64"/>
      <c r="I94" s="54"/>
      <c r="J94" s="61"/>
      <c r="K94" s="61"/>
      <c r="L94" s="54"/>
      <c r="M94" s="61"/>
      <c r="N94" s="61"/>
      <c r="O94" s="61"/>
      <c r="P94" s="61"/>
      <c r="Q94" s="120"/>
      <c r="R94" s="120"/>
      <c r="S94" s="120"/>
      <c r="T94" s="120"/>
      <c r="U94" s="72">
        <f t="shared" si="110"/>
      </c>
      <c r="V94" s="72">
        <f t="shared" si="111"/>
      </c>
      <c r="W94" s="73">
        <f t="shared" si="112"/>
      </c>
      <c r="X94" s="72">
        <f t="shared" si="113"/>
      </c>
      <c r="Y94" s="72">
        <f t="shared" si="114"/>
      </c>
      <c r="Z94" s="72">
        <f t="shared" si="115"/>
      </c>
      <c r="AA94" s="72">
        <f t="shared" si="116"/>
      </c>
      <c r="AB94" s="72">
        <f t="shared" si="117"/>
      </c>
      <c r="AC94" s="72">
        <f t="shared" si="118"/>
      </c>
      <c r="AD94" s="74">
        <f t="shared" si="125"/>
      </c>
      <c r="AE94" s="73">
        <f t="shared" si="151"/>
      </c>
      <c r="AF94" s="40">
        <f t="shared" si="130"/>
      </c>
      <c r="AG94" s="40">
        <f t="shared" si="98"/>
      </c>
      <c r="AH94" s="40">
        <f t="shared" si="131"/>
      </c>
      <c r="AI94" s="270">
        <f t="shared" si="132"/>
      </c>
      <c r="AJ94" s="40">
        <f>IF($B94="","",I94*IF($G$14="Sí",IF(OR($D94="R",$D94="RST"),IF($D$2="Sí",IF($G94="Motor",$D$6*$W94/(BB94^2),$W94/$D$6)*($AV94*$F94+$AW94*SIN(ACOS($F94))),$W94*$F94))+SUMIF(INICIO,$B94,R_RE),0))</f>
      </c>
      <c r="AK94" s="40">
        <f>IF(B94="","",I94*IF($G$14="Sí",IF(OR($D94="R",$D94="RST"),IF($D$2="Sí",IF($G94="Motor",$D$6*$W94/(BB94^2),$W94/$D$6)*($AW94*$F94-$AV94*SIN(ACOS($F94))),-$W94*SIN(ACOS($F94))))+SUMIF(INICIO,$B94,R_IM),0))</f>
      </c>
      <c r="AL94" s="273">
        <f t="shared" si="133"/>
      </c>
      <c r="AM94" s="40">
        <f>IF(B94="","",I94*IF($H$14="Sí",IF(OR($D94="S",$D94="RST"),IF($D$2="Sí",IF($G94="Motor",$D$6*$W94/(BC94^2),$W94/$D$6)*($AX94*$F94+$AY94*SIN(ACOS($F94))),-$W94*$F94/2-SQRT(3)/2*$W94*SIN(ACOS($F94))))+SUMIF(INICIO,$B94,S_RE),0))</f>
      </c>
      <c r="AN94" s="40">
        <f>IF(B94="","",I94*IF($H$14="Sí",IF(OR($D94="S",$D94="RST"),IF($D$2="Sí",IF($G94="Motor",$D$6*$W94/(BC94^2),$W94/$D$6)*($AY94*$F94-$AX94*SIN(ACOS($F94))),-SQRT(3)/2*$W94*$F94+0.5*$W94*SIN(ACOS($F94))))+SUMIF(INICIO,$B94,S_IM),0))</f>
      </c>
      <c r="AO94" s="273">
        <f t="shared" si="134"/>
      </c>
      <c r="AP94" s="40">
        <f>IF(B94="","",I94*IF($I$14="Sí",IF(OR($D94="T",$D94="RST"),IF($D$2="Sí",IF($G94="Motor",$D$6*$W94/(BD94^2),$W94/$D$6)*($AZ94*$F94+$BA94*SIN(ACOS($F94))),-$W94*$F94/2+SQRT(3)/2*$W94*SIN(ACOS($F94))))+SUMIF(INICIO,$B94,T_RE),0))</f>
      </c>
      <c r="AQ94" s="272">
        <f>IF(B94="","",I94*IF($I$14="Sí",IF(OR($D94="T",$D94="RST"),IF($D$2="Sí",IF($G94="Motor",$D$6*$W94/(BD94^2),$W94/$D$6)*($BA94*$F94-$AZ94*SIN(ACOS($F94))),SQRT(3)/2*$W94*$F94+0.5*$W94*SIN(ACOS($F94))))+SUMIF(INICIO,$B94,T_IM),0))</f>
      </c>
      <c r="AR94" s="40">
        <f t="shared" si="135"/>
      </c>
      <c r="AS94" s="40">
        <f t="shared" si="136"/>
      </c>
      <c r="AT94" s="40">
        <f t="shared" si="137"/>
      </c>
      <c r="AU94" s="40">
        <f t="shared" si="138"/>
      </c>
      <c r="AV94" s="73">
        <f t="shared" si="152"/>
      </c>
      <c r="AW94" s="73">
        <f t="shared" si="153"/>
      </c>
      <c r="AX94" s="73">
        <f t="shared" si="154"/>
      </c>
      <c r="AY94" s="73">
        <f t="shared" si="155"/>
      </c>
      <c r="AZ94" s="73">
        <f t="shared" si="156"/>
      </c>
      <c r="BA94" s="73">
        <f t="shared" si="157"/>
      </c>
      <c r="BB94" s="73">
        <f t="shared" si="158"/>
      </c>
      <c r="BC94" s="73">
        <f t="shared" si="159"/>
      </c>
      <c r="BD94" s="73">
        <f t="shared" si="160"/>
      </c>
      <c r="BE94" s="73">
        <f t="shared" si="139"/>
      </c>
      <c r="BF94" s="73">
        <f t="shared" si="140"/>
      </c>
      <c r="BG94" s="73">
        <f t="shared" si="141"/>
      </c>
      <c r="BH94" s="73">
        <f t="shared" si="119"/>
      </c>
      <c r="BI94" s="73">
        <f t="shared" si="96"/>
      </c>
      <c r="BJ94" s="73">
        <f t="shared" si="97"/>
      </c>
      <c r="BK94" s="40">
        <f t="shared" si="161"/>
      </c>
      <c r="BL94" s="40">
        <f t="shared" si="162"/>
      </c>
      <c r="BM94" s="40">
        <f t="shared" si="163"/>
      </c>
      <c r="BN94" s="40">
        <f t="shared" si="142"/>
      </c>
      <c r="BO94" s="40">
        <f t="shared" si="126"/>
      </c>
      <c r="BP94" s="40">
        <f t="shared" si="143"/>
      </c>
      <c r="BQ94" s="40">
        <f t="shared" si="144"/>
      </c>
      <c r="BR94" s="40">
        <f t="shared" si="145"/>
      </c>
      <c r="BS94" s="40">
        <f t="shared" si="164"/>
      </c>
      <c r="BT94" s="40">
        <f t="shared" si="108"/>
      </c>
      <c r="BU94" s="40">
        <f t="shared" si="146"/>
      </c>
      <c r="BV94" s="75">
        <f t="shared" si="147"/>
      </c>
      <c r="BW94" s="75">
        <f t="shared" si="148"/>
      </c>
      <c r="BX94" s="40">
        <f t="shared" si="127"/>
      </c>
      <c r="BY94" s="40">
        <f t="shared" si="128"/>
      </c>
      <c r="BZ94" s="61"/>
      <c r="CA94" s="73">
        <f t="shared" si="120"/>
      </c>
      <c r="CB94" s="84"/>
      <c r="CC94" s="73">
        <f t="shared" si="165"/>
      </c>
      <c r="CD94" s="73">
        <f t="shared" si="169"/>
      </c>
      <c r="CE94" s="73">
        <f t="shared" si="170"/>
      </c>
      <c r="CF94" s="73">
        <f t="shared" si="171"/>
      </c>
      <c r="CG94" s="73">
        <f t="shared" si="121"/>
      </c>
      <c r="CH94" s="73">
        <f t="shared" si="122"/>
      </c>
      <c r="CI94" s="73">
        <f t="shared" si="123"/>
      </c>
      <c r="CJ94" s="76">
        <f t="shared" si="149"/>
      </c>
      <c r="CK94" s="76">
        <f t="shared" si="166"/>
      </c>
      <c r="CL94" s="76">
        <f t="shared" si="167"/>
      </c>
      <c r="CM94" s="76">
        <f t="shared" si="168"/>
      </c>
      <c r="CN94" s="40">
        <f t="shared" si="129"/>
      </c>
      <c r="CO94" s="40">
        <f t="shared" si="172"/>
      </c>
      <c r="CP94" s="40">
        <f t="shared" si="173"/>
      </c>
      <c r="CQ94" s="40">
        <f t="shared" si="174"/>
      </c>
      <c r="CR94" s="40">
        <f t="shared" si="175"/>
      </c>
      <c r="CS94" s="40">
        <f t="shared" si="176"/>
      </c>
      <c r="CT94" s="40">
        <f t="shared" si="150"/>
      </c>
      <c r="CU94" s="40">
        <f t="shared" si="177"/>
      </c>
      <c r="CV94" s="40">
        <f t="shared" si="178"/>
      </c>
      <c r="CW94" s="40">
        <f t="shared" si="179"/>
      </c>
      <c r="CX94" s="40">
        <f t="shared" si="180"/>
      </c>
      <c r="CY94" s="40">
        <f t="shared" si="181"/>
      </c>
      <c r="CZ94" s="40">
        <f t="shared" si="92"/>
      </c>
      <c r="DA94" s="40">
        <f t="shared" si="124"/>
      </c>
    </row>
    <row r="95" spans="1:105" ht="12.75">
      <c r="A95" s="54"/>
      <c r="B95" s="54"/>
      <c r="C95" s="54"/>
      <c r="D95" s="54"/>
      <c r="E95" s="54"/>
      <c r="F95" s="54"/>
      <c r="G95" s="61"/>
      <c r="H95" s="64"/>
      <c r="I95" s="54"/>
      <c r="J95" s="61"/>
      <c r="K95" s="61"/>
      <c r="L95" s="54"/>
      <c r="M95" s="61"/>
      <c r="N95" s="61"/>
      <c r="O95" s="61"/>
      <c r="P95" s="61"/>
      <c r="Q95" s="120"/>
      <c r="R95" s="120"/>
      <c r="S95" s="120"/>
      <c r="T95" s="120"/>
      <c r="U95" s="72">
        <f t="shared" si="110"/>
      </c>
      <c r="V95" s="72">
        <f t="shared" si="111"/>
      </c>
      <c r="W95" s="73">
        <f t="shared" si="112"/>
      </c>
      <c r="X95" s="72">
        <f t="shared" si="113"/>
      </c>
      <c r="Y95" s="72">
        <f t="shared" si="114"/>
      </c>
      <c r="Z95" s="72">
        <f t="shared" si="115"/>
      </c>
      <c r="AA95" s="72">
        <f t="shared" si="116"/>
      </c>
      <c r="AB95" s="72">
        <f t="shared" si="117"/>
      </c>
      <c r="AC95" s="72">
        <f t="shared" si="118"/>
      </c>
      <c r="AD95" s="74">
        <f t="shared" si="125"/>
      </c>
      <c r="AE95" s="73">
        <f t="shared" si="151"/>
      </c>
      <c r="AF95" s="40">
        <f t="shared" si="130"/>
      </c>
      <c r="AG95" s="40">
        <f t="shared" si="98"/>
      </c>
      <c r="AH95" s="40">
        <f t="shared" si="131"/>
      </c>
      <c r="AI95" s="270">
        <f t="shared" si="132"/>
      </c>
      <c r="AJ95" s="40">
        <f>IF($B95="","",I95*IF($G$14="Sí",IF(OR($D95="R",$D95="RST"),IF($D$2="Sí",IF($G95="Motor",$D$6*$W95/(BB95^2),$W95/$D$6)*($AV95*$F95+$AW95*SIN(ACOS($F95))),$W95*$F95))+SUMIF(INICIO,$B95,R_RE),0))</f>
      </c>
      <c r="AK95" s="40">
        <f>IF(B95="","",I95*IF($G$14="Sí",IF(OR($D95="R",$D95="RST"),IF($D$2="Sí",IF($G95="Motor",$D$6*$W95/(BB95^2),$W95/$D$6)*($AW95*$F95-$AV95*SIN(ACOS($F95))),-$W95*SIN(ACOS($F95))))+SUMIF(INICIO,$B95,R_IM),0))</f>
      </c>
      <c r="AL95" s="273">
        <f t="shared" si="133"/>
      </c>
      <c r="AM95" s="40">
        <f>IF(B95="","",I95*IF($H$14="Sí",IF(OR($D95="S",$D95="RST"),IF($D$2="Sí",IF($G95="Motor",$D$6*$W95/(BC95^2),$W95/$D$6)*($AX95*$F95+$AY95*SIN(ACOS($F95))),-$W95*$F95/2-SQRT(3)/2*$W95*SIN(ACOS($F95))))+SUMIF(INICIO,$B95,S_RE),0))</f>
      </c>
      <c r="AN95" s="40">
        <f>IF(B95="","",I95*IF($H$14="Sí",IF(OR($D95="S",$D95="RST"),IF($D$2="Sí",IF($G95="Motor",$D$6*$W95/(BC95^2),$W95/$D$6)*($AY95*$F95-$AX95*SIN(ACOS($F95))),-SQRT(3)/2*$W95*$F95+0.5*$W95*SIN(ACOS($F95))))+SUMIF(INICIO,$B95,S_IM),0))</f>
      </c>
      <c r="AO95" s="273">
        <f t="shared" si="134"/>
      </c>
      <c r="AP95" s="40">
        <f>IF(B95="","",I95*IF($I$14="Sí",IF(OR($D95="T",$D95="RST"),IF($D$2="Sí",IF($G95="Motor",$D$6*$W95/(BD95^2),$W95/$D$6)*($AZ95*$F95+$BA95*SIN(ACOS($F95))),-$W95*$F95/2+SQRT(3)/2*$W95*SIN(ACOS($F95))))+SUMIF(INICIO,$B95,T_RE),0))</f>
      </c>
      <c r="AQ95" s="272">
        <f>IF(B95="","",I95*IF($I$14="Sí",IF(OR($D95="T",$D95="RST"),IF($D$2="Sí",IF($G95="Motor",$D$6*$W95/(BD95^2),$W95/$D$6)*($BA95*$F95-$AZ95*SIN(ACOS($F95))),SQRT(3)/2*$W95*$F95+0.5*$W95*SIN(ACOS($F95))))+SUMIF(INICIO,$B95,T_IM),0))</f>
      </c>
      <c r="AR95" s="40">
        <f t="shared" si="135"/>
      </c>
      <c r="AS95" s="40">
        <f t="shared" si="136"/>
      </c>
      <c r="AT95" s="40">
        <f t="shared" si="137"/>
      </c>
      <c r="AU95" s="40">
        <f t="shared" si="138"/>
      </c>
      <c r="AV95" s="73">
        <f t="shared" si="152"/>
      </c>
      <c r="AW95" s="73">
        <f t="shared" si="153"/>
      </c>
      <c r="AX95" s="73">
        <f t="shared" si="154"/>
      </c>
      <c r="AY95" s="73">
        <f t="shared" si="155"/>
      </c>
      <c r="AZ95" s="73">
        <f t="shared" si="156"/>
      </c>
      <c r="BA95" s="73">
        <f t="shared" si="157"/>
      </c>
      <c r="BB95" s="73">
        <f t="shared" si="158"/>
      </c>
      <c r="BC95" s="73">
        <f t="shared" si="159"/>
      </c>
      <c r="BD95" s="73">
        <f t="shared" si="160"/>
      </c>
      <c r="BE95" s="73">
        <f t="shared" si="139"/>
      </c>
      <c r="BF95" s="73">
        <f t="shared" si="140"/>
      </c>
      <c r="BG95" s="73">
        <f t="shared" si="141"/>
      </c>
      <c r="BH95" s="73">
        <f t="shared" si="119"/>
      </c>
      <c r="BI95" s="73">
        <f t="shared" si="96"/>
      </c>
      <c r="BJ95" s="73">
        <f t="shared" si="97"/>
      </c>
      <c r="BK95" s="40">
        <f t="shared" si="161"/>
      </c>
      <c r="BL95" s="40">
        <f t="shared" si="162"/>
      </c>
      <c r="BM95" s="40">
        <f t="shared" si="163"/>
      </c>
      <c r="BN95" s="40">
        <f t="shared" si="142"/>
      </c>
      <c r="BO95" s="40">
        <f t="shared" si="126"/>
      </c>
      <c r="BP95" s="40">
        <f t="shared" si="143"/>
      </c>
      <c r="BQ95" s="40">
        <f t="shared" si="144"/>
      </c>
      <c r="BR95" s="40">
        <f t="shared" si="145"/>
      </c>
      <c r="BS95" s="40">
        <f t="shared" si="164"/>
      </c>
      <c r="BT95" s="40">
        <f t="shared" si="108"/>
      </c>
      <c r="BU95" s="40">
        <f t="shared" si="146"/>
      </c>
      <c r="BV95" s="75">
        <f t="shared" si="147"/>
      </c>
      <c r="BW95" s="75">
        <f t="shared" si="148"/>
      </c>
      <c r="BX95" s="40">
        <f t="shared" si="127"/>
      </c>
      <c r="BY95" s="40">
        <f t="shared" si="128"/>
      </c>
      <c r="BZ95" s="61"/>
      <c r="CA95" s="73">
        <f t="shared" si="120"/>
      </c>
      <c r="CB95" s="84"/>
      <c r="CC95" s="73">
        <f t="shared" si="165"/>
      </c>
      <c r="CD95" s="73">
        <f t="shared" si="169"/>
      </c>
      <c r="CE95" s="73">
        <f t="shared" si="170"/>
      </c>
      <c r="CF95" s="73">
        <f t="shared" si="171"/>
      </c>
      <c r="CG95" s="73">
        <f t="shared" si="121"/>
      </c>
      <c r="CH95" s="73">
        <f t="shared" si="122"/>
      </c>
      <c r="CI95" s="73">
        <f t="shared" si="123"/>
      </c>
      <c r="CJ95" s="76">
        <f t="shared" si="149"/>
      </c>
      <c r="CK95" s="76">
        <f t="shared" si="166"/>
      </c>
      <c r="CL95" s="76">
        <f t="shared" si="167"/>
      </c>
      <c r="CM95" s="76">
        <f t="shared" si="168"/>
      </c>
      <c r="CN95" s="40">
        <f t="shared" si="129"/>
      </c>
      <c r="CO95" s="40">
        <f t="shared" si="172"/>
      </c>
      <c r="CP95" s="40">
        <f t="shared" si="173"/>
      </c>
      <c r="CQ95" s="40">
        <f t="shared" si="174"/>
      </c>
      <c r="CR95" s="40">
        <f t="shared" si="175"/>
      </c>
      <c r="CS95" s="40">
        <f t="shared" si="176"/>
      </c>
      <c r="CT95" s="40">
        <f t="shared" si="150"/>
      </c>
      <c r="CU95" s="40">
        <f t="shared" si="177"/>
      </c>
      <c r="CV95" s="40">
        <f t="shared" si="178"/>
      </c>
      <c r="CW95" s="40">
        <f t="shared" si="179"/>
      </c>
      <c r="CX95" s="40">
        <f t="shared" si="180"/>
      </c>
      <c r="CY95" s="40">
        <f t="shared" si="181"/>
      </c>
      <c r="CZ95" s="40">
        <f aca="true" t="shared" si="182" ref="CZ95:CZ100">IF($B95="","",I95*IF($I$14="Sí",IF(OR($D95="T",$D95="RST"),$W95*F95)+SUMIF(INICIO,$B95,IT_cosfi),0))</f>
      </c>
      <c r="DA95" s="40">
        <f t="shared" si="124"/>
      </c>
    </row>
    <row r="96" spans="1:105" ht="12.75">
      <c r="A96" s="54"/>
      <c r="B96" s="54"/>
      <c r="C96" s="54"/>
      <c r="D96" s="54"/>
      <c r="E96" s="54"/>
      <c r="F96" s="54"/>
      <c r="G96" s="61"/>
      <c r="H96" s="64"/>
      <c r="I96" s="54"/>
      <c r="J96" s="61"/>
      <c r="K96" s="61"/>
      <c r="L96" s="54"/>
      <c r="M96" s="61"/>
      <c r="N96" s="61"/>
      <c r="O96" s="61"/>
      <c r="P96" s="61"/>
      <c r="Q96" s="120"/>
      <c r="R96" s="120"/>
      <c r="S96" s="120"/>
      <c r="T96" s="120"/>
      <c r="U96" s="72">
        <f t="shared" si="110"/>
      </c>
      <c r="V96" s="72">
        <f t="shared" si="111"/>
      </c>
      <c r="W96" s="73">
        <f t="shared" si="112"/>
      </c>
      <c r="X96" s="72">
        <f t="shared" si="113"/>
      </c>
      <c r="Y96" s="72">
        <f t="shared" si="114"/>
      </c>
      <c r="Z96" s="72">
        <f t="shared" si="115"/>
      </c>
      <c r="AA96" s="72">
        <f t="shared" si="116"/>
      </c>
      <c r="AB96" s="72">
        <f t="shared" si="117"/>
      </c>
      <c r="AC96" s="72">
        <f t="shared" si="118"/>
      </c>
      <c r="AD96" s="74">
        <f t="shared" si="125"/>
      </c>
      <c r="AE96" s="73">
        <f t="shared" si="151"/>
      </c>
      <c r="AF96" s="40">
        <f t="shared" si="130"/>
      </c>
      <c r="AG96" s="40">
        <f t="shared" si="98"/>
      </c>
      <c r="AH96" s="40">
        <f t="shared" si="131"/>
      </c>
      <c r="AI96" s="270">
        <f t="shared" si="132"/>
      </c>
      <c r="AJ96" s="40">
        <f>IF($B96="","",I96*IF($G$14="Sí",IF(OR($D96="R",$D96="RST"),IF($D$2="Sí",IF($G96="Motor",$D$6*$W96/(BB96^2),$W96/$D$6)*($AV96*$F96+$AW96*SIN(ACOS($F96))),$W96*$F96))+SUMIF(INICIO,$B96,R_RE),0))</f>
      </c>
      <c r="AK96" s="40">
        <f>IF(B96="","",I96*IF($G$14="Sí",IF(OR($D96="R",$D96="RST"),IF($D$2="Sí",IF($G96="Motor",$D$6*$W96/(BB96^2),$W96/$D$6)*($AW96*$F96-$AV96*SIN(ACOS($F96))),-$W96*SIN(ACOS($F96))))+SUMIF(INICIO,$B96,R_IM),0))</f>
      </c>
      <c r="AL96" s="273">
        <f t="shared" si="133"/>
      </c>
      <c r="AM96" s="40">
        <f>IF(B96="","",I96*IF($H$14="Sí",IF(OR($D96="S",$D96="RST"),IF($D$2="Sí",IF($G96="Motor",$D$6*$W96/(BC96^2),$W96/$D$6)*($AX96*$F96+$AY96*SIN(ACOS($F96))),-$W96*$F96/2-SQRT(3)/2*$W96*SIN(ACOS($F96))))+SUMIF(INICIO,$B96,S_RE),0))</f>
      </c>
      <c r="AN96" s="40">
        <f>IF(B96="","",I96*IF($H$14="Sí",IF(OR($D96="S",$D96="RST"),IF($D$2="Sí",IF($G96="Motor",$D$6*$W96/(BC96^2),$W96/$D$6)*($AY96*$F96-$AX96*SIN(ACOS($F96))),-SQRT(3)/2*$W96*$F96+0.5*$W96*SIN(ACOS($F96))))+SUMIF(INICIO,$B96,S_IM),0))</f>
      </c>
      <c r="AO96" s="273">
        <f t="shared" si="134"/>
      </c>
      <c r="AP96" s="40">
        <f>IF(B96="","",I96*IF($I$14="Sí",IF(OR($D96="T",$D96="RST"),IF($D$2="Sí",IF($G96="Motor",$D$6*$W96/(BD96^2),$W96/$D$6)*($AZ96*$F96+$BA96*SIN(ACOS($F96))),-$W96*$F96/2+SQRT(3)/2*$W96*SIN(ACOS($F96))))+SUMIF(INICIO,$B96,T_RE),0))</f>
      </c>
      <c r="AQ96" s="272">
        <f>IF(B96="","",I96*IF($I$14="Sí",IF(OR($D96="T",$D96="RST"),IF($D$2="Sí",IF($G96="Motor",$D$6*$W96/(BD96^2),$W96/$D$6)*($BA96*$F96-$AZ96*SIN(ACOS($F96))),SQRT(3)/2*$W96*$F96+0.5*$W96*SIN(ACOS($F96))))+SUMIF(INICIO,$B96,T_IM),0))</f>
      </c>
      <c r="AR96" s="40">
        <f t="shared" si="135"/>
      </c>
      <c r="AS96" s="40">
        <f t="shared" si="136"/>
      </c>
      <c r="AT96" s="40">
        <f t="shared" si="137"/>
      </c>
      <c r="AU96" s="40">
        <f t="shared" si="138"/>
      </c>
      <c r="AV96" s="73">
        <f t="shared" si="152"/>
      </c>
      <c r="AW96" s="73">
        <f t="shared" si="153"/>
      </c>
      <c r="AX96" s="73">
        <f t="shared" si="154"/>
      </c>
      <c r="AY96" s="73">
        <f t="shared" si="155"/>
      </c>
      <c r="AZ96" s="73">
        <f t="shared" si="156"/>
      </c>
      <c r="BA96" s="73">
        <f t="shared" si="157"/>
      </c>
      <c r="BB96" s="73">
        <f t="shared" si="158"/>
      </c>
      <c r="BC96" s="73">
        <f t="shared" si="159"/>
      </c>
      <c r="BD96" s="73">
        <f t="shared" si="160"/>
      </c>
      <c r="BE96" s="73">
        <f t="shared" si="139"/>
      </c>
      <c r="BF96" s="73">
        <f t="shared" si="140"/>
      </c>
      <c r="BG96" s="73">
        <f t="shared" si="141"/>
      </c>
      <c r="BH96" s="73">
        <f t="shared" si="119"/>
      </c>
      <c r="BI96" s="73">
        <f t="shared" si="96"/>
      </c>
      <c r="BJ96" s="73">
        <f t="shared" si="97"/>
      </c>
      <c r="BK96" s="40">
        <f t="shared" si="161"/>
      </c>
      <c r="BL96" s="40">
        <f t="shared" si="162"/>
      </c>
      <c r="BM96" s="40">
        <f t="shared" si="163"/>
      </c>
      <c r="BN96" s="40">
        <f t="shared" si="142"/>
      </c>
      <c r="BO96" s="40">
        <f t="shared" si="126"/>
      </c>
      <c r="BP96" s="40">
        <f t="shared" si="143"/>
      </c>
      <c r="BQ96" s="40">
        <f t="shared" si="144"/>
      </c>
      <c r="BR96" s="40">
        <f t="shared" si="145"/>
      </c>
      <c r="BS96" s="40">
        <f t="shared" si="164"/>
      </c>
      <c r="BT96" s="40">
        <f t="shared" si="108"/>
      </c>
      <c r="BU96" s="40">
        <f t="shared" si="146"/>
      </c>
      <c r="BV96" s="75">
        <f t="shared" si="147"/>
      </c>
      <c r="BW96" s="75">
        <f t="shared" si="148"/>
      </c>
      <c r="BX96" s="40">
        <f t="shared" si="127"/>
      </c>
      <c r="BY96" s="40">
        <f t="shared" si="128"/>
      </c>
      <c r="BZ96" s="61"/>
      <c r="CA96" s="73">
        <f t="shared" si="120"/>
      </c>
      <c r="CB96" s="84"/>
      <c r="CC96" s="73">
        <f t="shared" si="165"/>
      </c>
      <c r="CD96" s="73">
        <f t="shared" si="169"/>
      </c>
      <c r="CE96" s="73">
        <f t="shared" si="170"/>
      </c>
      <c r="CF96" s="73">
        <f t="shared" si="171"/>
      </c>
      <c r="CG96" s="73">
        <f t="shared" si="121"/>
      </c>
      <c r="CH96" s="73">
        <f t="shared" si="122"/>
      </c>
      <c r="CI96" s="73">
        <f t="shared" si="123"/>
      </c>
      <c r="CJ96" s="76">
        <f t="shared" si="149"/>
      </c>
      <c r="CK96" s="76">
        <f t="shared" si="166"/>
      </c>
      <c r="CL96" s="76">
        <f t="shared" si="167"/>
      </c>
      <c r="CM96" s="76">
        <f t="shared" si="168"/>
      </c>
      <c r="CN96" s="40">
        <f t="shared" si="129"/>
      </c>
      <c r="CO96" s="40">
        <f t="shared" si="172"/>
      </c>
      <c r="CP96" s="40">
        <f t="shared" si="173"/>
      </c>
      <c r="CQ96" s="40">
        <f t="shared" si="174"/>
      </c>
      <c r="CR96" s="40">
        <f t="shared" si="175"/>
      </c>
      <c r="CS96" s="40">
        <f t="shared" si="176"/>
      </c>
      <c r="CT96" s="40">
        <f t="shared" si="150"/>
      </c>
      <c r="CU96" s="40">
        <f t="shared" si="177"/>
      </c>
      <c r="CV96" s="40">
        <f t="shared" si="178"/>
      </c>
      <c r="CW96" s="40">
        <f t="shared" si="179"/>
      </c>
      <c r="CX96" s="40">
        <f t="shared" si="180"/>
      </c>
      <c r="CY96" s="40">
        <f t="shared" si="181"/>
      </c>
      <c r="CZ96" s="40">
        <f t="shared" si="182"/>
      </c>
      <c r="DA96" s="40">
        <f t="shared" si="124"/>
      </c>
    </row>
    <row r="97" spans="1:105" ht="12.75">
      <c r="A97" s="54"/>
      <c r="B97" s="54"/>
      <c r="C97" s="54"/>
      <c r="D97" s="54"/>
      <c r="E97" s="54"/>
      <c r="F97" s="54"/>
      <c r="G97" s="61"/>
      <c r="H97" s="64"/>
      <c r="I97" s="54"/>
      <c r="J97" s="61"/>
      <c r="K97" s="61"/>
      <c r="L97" s="54"/>
      <c r="M97" s="61"/>
      <c r="N97" s="61"/>
      <c r="O97" s="54"/>
      <c r="P97" s="61"/>
      <c r="Q97" s="120"/>
      <c r="R97" s="120"/>
      <c r="S97" s="120"/>
      <c r="T97" s="120"/>
      <c r="U97" s="72">
        <f t="shared" si="110"/>
      </c>
      <c r="V97" s="72">
        <f t="shared" si="111"/>
      </c>
      <c r="W97" s="73">
        <f t="shared" si="112"/>
      </c>
      <c r="X97" s="72">
        <f t="shared" si="113"/>
      </c>
      <c r="Y97" s="72">
        <f t="shared" si="114"/>
      </c>
      <c r="Z97" s="72">
        <f t="shared" si="115"/>
      </c>
      <c r="AA97" s="72">
        <f t="shared" si="116"/>
      </c>
      <c r="AB97" s="72">
        <f t="shared" si="117"/>
      </c>
      <c r="AC97" s="72">
        <f t="shared" si="118"/>
      </c>
      <c r="AD97" s="74">
        <f t="shared" si="125"/>
      </c>
      <c r="AE97" s="73">
        <f t="shared" si="151"/>
      </c>
      <c r="AF97" s="40">
        <f t="shared" si="130"/>
      </c>
      <c r="AG97" s="40">
        <f t="shared" si="98"/>
      </c>
      <c r="AH97" s="40">
        <f t="shared" si="131"/>
      </c>
      <c r="AI97" s="270">
        <f t="shared" si="132"/>
      </c>
      <c r="AJ97" s="40">
        <f>IF($B97="","",I97*IF($G$14="Sí",IF(OR($D97="R",$D97="RST"),IF($D$2="Sí",IF($G97="Motor",$D$6*$W97/(BB97^2),$W97/$D$6)*($AV97*$F97+$AW97*SIN(ACOS($F97))),$W97*$F97))+SUMIF(INICIO,$B97,R_RE),0))</f>
      </c>
      <c r="AK97" s="40">
        <f>IF(B97="","",I97*IF($G$14="Sí",IF(OR($D97="R",$D97="RST"),IF($D$2="Sí",IF($G97="Motor",$D$6*$W97/(BB97^2),$W97/$D$6)*($AW97*$F97-$AV97*SIN(ACOS($F97))),-$W97*SIN(ACOS($F97))))+SUMIF(INICIO,$B97,R_IM),0))</f>
      </c>
      <c r="AL97" s="273">
        <f t="shared" si="133"/>
      </c>
      <c r="AM97" s="40">
        <f>IF(B97="","",I97*IF($H$14="Sí",IF(OR($D97="S",$D97="RST"),IF($D$2="Sí",IF($G97="Motor",$D$6*$W97/(BC97^2),$W97/$D$6)*($AX97*$F97+$AY97*SIN(ACOS($F97))),-$W97*$F97/2-SQRT(3)/2*$W97*SIN(ACOS($F97))))+SUMIF(INICIO,$B97,S_RE),0))</f>
      </c>
      <c r="AN97" s="40">
        <f>IF(B97="","",I97*IF($H$14="Sí",IF(OR($D97="S",$D97="RST"),IF($D$2="Sí",IF($G97="Motor",$D$6*$W97/(BC97^2),$W97/$D$6)*($AY97*$F97-$AX97*SIN(ACOS($F97))),-SQRT(3)/2*$W97*$F97+0.5*$W97*SIN(ACOS($F97))))+SUMIF(INICIO,$B97,S_IM),0))</f>
      </c>
      <c r="AO97" s="273">
        <f t="shared" si="134"/>
      </c>
      <c r="AP97" s="40">
        <f>IF(B97="","",I97*IF($I$14="Sí",IF(OR($D97="T",$D97="RST"),IF($D$2="Sí",IF($G97="Motor",$D$6*$W97/(BD97^2),$W97/$D$6)*($AZ97*$F97+$BA97*SIN(ACOS($F97))),-$W97*$F97/2+SQRT(3)/2*$W97*SIN(ACOS($F97))))+SUMIF(INICIO,$B97,T_RE),0))</f>
      </c>
      <c r="AQ97" s="272">
        <f>IF(B97="","",I97*IF($I$14="Sí",IF(OR($D97="T",$D97="RST"),IF($D$2="Sí",IF($G97="Motor",$D$6*$W97/(BD97^2),$W97/$D$6)*($BA97*$F97-$AZ97*SIN(ACOS($F97))),SQRT(3)/2*$W97*$F97+0.5*$W97*SIN(ACOS($F97))))+SUMIF(INICIO,$B97,T_IM),0))</f>
      </c>
      <c r="AR97" s="40">
        <f t="shared" si="135"/>
      </c>
      <c r="AS97" s="40">
        <f t="shared" si="136"/>
      </c>
      <c r="AT97" s="40">
        <f t="shared" si="137"/>
      </c>
      <c r="AU97" s="40">
        <f t="shared" si="138"/>
      </c>
      <c r="AV97" s="73">
        <f t="shared" si="152"/>
      </c>
      <c r="AW97" s="73">
        <f t="shared" si="153"/>
      </c>
      <c r="AX97" s="73">
        <f t="shared" si="154"/>
      </c>
      <c r="AY97" s="73">
        <f t="shared" si="155"/>
      </c>
      <c r="AZ97" s="73">
        <f t="shared" si="156"/>
      </c>
      <c r="BA97" s="73">
        <f t="shared" si="157"/>
      </c>
      <c r="BB97" s="73">
        <f t="shared" si="158"/>
      </c>
      <c r="BC97" s="73">
        <f t="shared" si="159"/>
      </c>
      <c r="BD97" s="73">
        <f t="shared" si="160"/>
      </c>
      <c r="BE97" s="73">
        <f t="shared" si="139"/>
      </c>
      <c r="BF97" s="73">
        <f t="shared" si="140"/>
      </c>
      <c r="BG97" s="73">
        <f t="shared" si="141"/>
      </c>
      <c r="BH97" s="73">
        <f t="shared" si="119"/>
      </c>
      <c r="BI97" s="73">
        <f t="shared" si="96"/>
      </c>
      <c r="BJ97" s="73">
        <f t="shared" si="97"/>
      </c>
      <c r="BK97" s="40">
        <f t="shared" si="161"/>
      </c>
      <c r="BL97" s="40">
        <f t="shared" si="162"/>
      </c>
      <c r="BM97" s="40">
        <f t="shared" si="163"/>
      </c>
      <c r="BN97" s="40">
        <f t="shared" si="142"/>
      </c>
      <c r="BO97" s="40">
        <f t="shared" si="126"/>
      </c>
      <c r="BP97" s="40">
        <f t="shared" si="143"/>
      </c>
      <c r="BQ97" s="40">
        <f t="shared" si="144"/>
      </c>
      <c r="BR97" s="40">
        <f t="shared" si="145"/>
      </c>
      <c r="BS97" s="40">
        <f t="shared" si="164"/>
      </c>
      <c r="BT97" s="40">
        <f t="shared" si="108"/>
      </c>
      <c r="BU97" s="40">
        <f t="shared" si="146"/>
      </c>
      <c r="BV97" s="75">
        <f t="shared" si="147"/>
      </c>
      <c r="BW97" s="75">
        <f t="shared" si="148"/>
      </c>
      <c r="BX97" s="40">
        <f t="shared" si="127"/>
      </c>
      <c r="BY97" s="40">
        <f t="shared" si="128"/>
      </c>
      <c r="BZ97" s="61"/>
      <c r="CA97" s="73">
        <f t="shared" si="120"/>
      </c>
      <c r="CB97" s="84"/>
      <c r="CC97" s="73">
        <f t="shared" si="165"/>
      </c>
      <c r="CD97" s="73">
        <f t="shared" si="169"/>
      </c>
      <c r="CE97" s="73">
        <f t="shared" si="170"/>
      </c>
      <c r="CF97" s="73">
        <f t="shared" si="171"/>
      </c>
      <c r="CG97" s="73">
        <f t="shared" si="121"/>
      </c>
      <c r="CH97" s="73">
        <f t="shared" si="122"/>
      </c>
      <c r="CI97" s="73">
        <f t="shared" si="123"/>
      </c>
      <c r="CJ97" s="76">
        <f t="shared" si="149"/>
      </c>
      <c r="CK97" s="76">
        <f t="shared" si="166"/>
      </c>
      <c r="CL97" s="76">
        <f t="shared" si="167"/>
      </c>
      <c r="CM97" s="76">
        <f t="shared" si="168"/>
      </c>
      <c r="CN97" s="40">
        <f t="shared" si="129"/>
      </c>
      <c r="CO97" s="40">
        <f t="shared" si="172"/>
      </c>
      <c r="CP97" s="40">
        <f t="shared" si="173"/>
      </c>
      <c r="CQ97" s="40">
        <f t="shared" si="174"/>
      </c>
      <c r="CR97" s="40">
        <f t="shared" si="175"/>
      </c>
      <c r="CS97" s="40">
        <f t="shared" si="176"/>
      </c>
      <c r="CT97" s="40">
        <f t="shared" si="150"/>
      </c>
      <c r="CU97" s="40">
        <f t="shared" si="177"/>
      </c>
      <c r="CV97" s="40">
        <f t="shared" si="178"/>
      </c>
      <c r="CW97" s="40">
        <f t="shared" si="179"/>
      </c>
      <c r="CX97" s="40">
        <f t="shared" si="180"/>
      </c>
      <c r="CY97" s="40">
        <f t="shared" si="181"/>
      </c>
      <c r="CZ97" s="40">
        <f t="shared" si="182"/>
      </c>
      <c r="DA97" s="40">
        <f t="shared" si="124"/>
      </c>
    </row>
    <row r="98" spans="1:105" ht="12.75">
      <c r="A98" s="54"/>
      <c r="B98" s="54"/>
      <c r="C98" s="54"/>
      <c r="D98" s="54"/>
      <c r="E98" s="54"/>
      <c r="F98" s="54"/>
      <c r="G98" s="61"/>
      <c r="H98" s="64"/>
      <c r="I98" s="54"/>
      <c r="J98" s="61"/>
      <c r="K98" s="61"/>
      <c r="L98" s="54"/>
      <c r="M98" s="61"/>
      <c r="N98" s="61"/>
      <c r="O98" s="54"/>
      <c r="P98" s="61"/>
      <c r="Q98" s="120"/>
      <c r="R98" s="120"/>
      <c r="S98" s="120"/>
      <c r="T98" s="120"/>
      <c r="U98" s="72">
        <f t="shared" si="110"/>
      </c>
      <c r="V98" s="72">
        <f t="shared" si="111"/>
      </c>
      <c r="W98" s="73">
        <f t="shared" si="112"/>
      </c>
      <c r="X98" s="72">
        <f t="shared" si="113"/>
      </c>
      <c r="Y98" s="72">
        <f t="shared" si="114"/>
      </c>
      <c r="Z98" s="72">
        <f t="shared" si="115"/>
      </c>
      <c r="AA98" s="72">
        <f t="shared" si="116"/>
      </c>
      <c r="AB98" s="72">
        <f t="shared" si="117"/>
      </c>
      <c r="AC98" s="72">
        <f t="shared" si="118"/>
      </c>
      <c r="AD98" s="74">
        <f t="shared" si="125"/>
      </c>
      <c r="AE98" s="73">
        <f t="shared" si="151"/>
      </c>
      <c r="AF98" s="40">
        <f t="shared" si="130"/>
      </c>
      <c r="AG98" s="40">
        <f t="shared" si="98"/>
      </c>
      <c r="AH98" s="40">
        <f t="shared" si="131"/>
      </c>
      <c r="AI98" s="270">
        <f t="shared" si="132"/>
      </c>
      <c r="AJ98" s="40">
        <f>IF($B98="","",I98*IF($G$14="Sí",IF(OR($D98="R",$D98="RST"),IF($D$2="Sí",IF($G98="Motor",$D$6*$W98/(BB98^2),$W98/$D$6)*($AV98*$F98+$AW98*SIN(ACOS($F98))),$W98*$F98))+SUMIF(INICIO,$B98,R_RE),0))</f>
      </c>
      <c r="AK98" s="40">
        <f>IF(B98="","",I98*IF($G$14="Sí",IF(OR($D98="R",$D98="RST"),IF($D$2="Sí",IF($G98="Motor",$D$6*$W98/(BB98^2),$W98/$D$6)*($AW98*$F98-$AV98*SIN(ACOS($F98))),-$W98*SIN(ACOS($F98))))+SUMIF(INICIO,$B98,R_IM),0))</f>
      </c>
      <c r="AL98" s="273">
        <f t="shared" si="133"/>
      </c>
      <c r="AM98" s="40">
        <f>IF(B98="","",I98*IF($H$14="Sí",IF(OR($D98="S",$D98="RST"),IF($D$2="Sí",IF($G98="Motor",$D$6*$W98/(BC98^2),$W98/$D$6)*($AX98*$F98+$AY98*SIN(ACOS($F98))),-$W98*$F98/2-SQRT(3)/2*$W98*SIN(ACOS($F98))))+SUMIF(INICIO,$B98,S_RE),0))</f>
      </c>
      <c r="AN98" s="40">
        <f>IF(B98="","",I98*IF($H$14="Sí",IF(OR($D98="S",$D98="RST"),IF($D$2="Sí",IF($G98="Motor",$D$6*$W98/(BC98^2),$W98/$D$6)*($AY98*$F98-$AX98*SIN(ACOS($F98))),-SQRT(3)/2*$W98*$F98+0.5*$W98*SIN(ACOS($F98))))+SUMIF(INICIO,$B98,S_IM),0))</f>
      </c>
      <c r="AO98" s="273">
        <f t="shared" si="134"/>
      </c>
      <c r="AP98" s="40">
        <f>IF(B98="","",I98*IF($I$14="Sí",IF(OR($D98="T",$D98="RST"),IF($D$2="Sí",IF($G98="Motor",$D$6*$W98/(BD98^2),$W98/$D$6)*($AZ98*$F98+$BA98*SIN(ACOS($F98))),-$W98*$F98/2+SQRT(3)/2*$W98*SIN(ACOS($F98))))+SUMIF(INICIO,$B98,T_RE),0))</f>
      </c>
      <c r="AQ98" s="272">
        <f>IF(B98="","",I98*IF($I$14="Sí",IF(OR($D98="T",$D98="RST"),IF($D$2="Sí",IF($G98="Motor",$D$6*$W98/(BD98^2),$W98/$D$6)*($BA98*$F98-$AZ98*SIN(ACOS($F98))),SQRT(3)/2*$W98*$F98+0.5*$W98*SIN(ACOS($F98))))+SUMIF(INICIO,$B98,T_IM),0))</f>
      </c>
      <c r="AR98" s="40">
        <f t="shared" si="135"/>
      </c>
      <c r="AS98" s="40">
        <f t="shared" si="136"/>
      </c>
      <c r="AT98" s="40">
        <f t="shared" si="137"/>
      </c>
      <c r="AU98" s="40">
        <f t="shared" si="138"/>
      </c>
      <c r="AV98" s="73">
        <f t="shared" si="152"/>
      </c>
      <c r="AW98" s="73">
        <f t="shared" si="153"/>
      </c>
      <c r="AX98" s="73">
        <f t="shared" si="154"/>
      </c>
      <c r="AY98" s="73">
        <f t="shared" si="155"/>
      </c>
      <c r="AZ98" s="73">
        <f t="shared" si="156"/>
      </c>
      <c r="BA98" s="73">
        <f t="shared" si="157"/>
      </c>
      <c r="BB98" s="73">
        <f t="shared" si="158"/>
      </c>
      <c r="BC98" s="73">
        <f t="shared" si="159"/>
      </c>
      <c r="BD98" s="73">
        <f t="shared" si="160"/>
      </c>
      <c r="BE98" s="73">
        <f t="shared" si="139"/>
      </c>
      <c r="BF98" s="73">
        <f t="shared" si="140"/>
      </c>
      <c r="BG98" s="73">
        <f t="shared" si="141"/>
      </c>
      <c r="BH98" s="73">
        <f t="shared" si="119"/>
      </c>
      <c r="BI98" s="73">
        <f t="shared" si="96"/>
      </c>
      <c r="BJ98" s="73">
        <f t="shared" si="97"/>
      </c>
      <c r="BK98" s="40">
        <f t="shared" si="161"/>
      </c>
      <c r="BL98" s="40">
        <f t="shared" si="162"/>
      </c>
      <c r="BM98" s="40">
        <f t="shared" si="163"/>
      </c>
      <c r="BN98" s="40">
        <f t="shared" si="142"/>
      </c>
      <c r="BO98" s="40">
        <f t="shared" si="126"/>
      </c>
      <c r="BP98" s="40">
        <f t="shared" si="143"/>
      </c>
      <c r="BQ98" s="40">
        <f t="shared" si="144"/>
      </c>
      <c r="BR98" s="40">
        <f t="shared" si="145"/>
      </c>
      <c r="BS98" s="40">
        <f t="shared" si="164"/>
      </c>
      <c r="BT98" s="40">
        <f t="shared" si="108"/>
      </c>
      <c r="BU98" s="40">
        <f t="shared" si="146"/>
      </c>
      <c r="BV98" s="75">
        <f t="shared" si="147"/>
      </c>
      <c r="BW98" s="75">
        <f t="shared" si="148"/>
      </c>
      <c r="BX98" s="40">
        <f t="shared" si="127"/>
      </c>
      <c r="BY98" s="40">
        <f t="shared" si="128"/>
      </c>
      <c r="BZ98" s="61"/>
      <c r="CA98" s="73">
        <f t="shared" si="120"/>
      </c>
      <c r="CB98" s="84"/>
      <c r="CC98" s="73">
        <f t="shared" si="165"/>
      </c>
      <c r="CD98" s="73">
        <f t="shared" si="169"/>
      </c>
      <c r="CE98" s="73">
        <f t="shared" si="170"/>
      </c>
      <c r="CF98" s="73">
        <f t="shared" si="171"/>
      </c>
      <c r="CG98" s="73">
        <f t="shared" si="121"/>
      </c>
      <c r="CH98" s="73">
        <f t="shared" si="122"/>
      </c>
      <c r="CI98" s="73">
        <f t="shared" si="123"/>
      </c>
      <c r="CJ98" s="76">
        <f t="shared" si="149"/>
      </c>
      <c r="CK98" s="76">
        <f t="shared" si="166"/>
      </c>
      <c r="CL98" s="76">
        <f t="shared" si="167"/>
      </c>
      <c r="CM98" s="76">
        <f t="shared" si="168"/>
      </c>
      <c r="CN98" s="40">
        <f t="shared" si="129"/>
      </c>
      <c r="CO98" s="40">
        <f t="shared" si="172"/>
      </c>
      <c r="CP98" s="40">
        <f t="shared" si="173"/>
      </c>
      <c r="CQ98" s="40">
        <f t="shared" si="174"/>
      </c>
      <c r="CR98" s="40">
        <f t="shared" si="175"/>
      </c>
      <c r="CS98" s="40">
        <f t="shared" si="176"/>
      </c>
      <c r="CT98" s="40">
        <f t="shared" si="150"/>
      </c>
      <c r="CU98" s="40">
        <f t="shared" si="177"/>
      </c>
      <c r="CV98" s="40">
        <f t="shared" si="178"/>
      </c>
      <c r="CW98" s="40">
        <f t="shared" si="179"/>
      </c>
      <c r="CX98" s="40">
        <f t="shared" si="180"/>
      </c>
      <c r="CY98" s="40">
        <f t="shared" si="181"/>
      </c>
      <c r="CZ98" s="40">
        <f t="shared" si="182"/>
      </c>
      <c r="DA98" s="40">
        <f t="shared" si="124"/>
      </c>
    </row>
    <row r="99" spans="1:105" ht="12.75">
      <c r="A99" s="54"/>
      <c r="B99" s="54"/>
      <c r="C99" s="54"/>
      <c r="D99" s="54"/>
      <c r="E99" s="54"/>
      <c r="F99" s="54"/>
      <c r="G99" s="61"/>
      <c r="H99" s="64"/>
      <c r="I99" s="54"/>
      <c r="J99" s="61"/>
      <c r="K99" s="61"/>
      <c r="L99" s="54"/>
      <c r="M99" s="61"/>
      <c r="N99" s="61"/>
      <c r="O99" s="54"/>
      <c r="P99" s="61"/>
      <c r="Q99" s="120"/>
      <c r="R99" s="120"/>
      <c r="S99" s="120"/>
      <c r="T99" s="120"/>
      <c r="U99" s="72">
        <f t="shared" si="110"/>
      </c>
      <c r="V99" s="72">
        <f t="shared" si="111"/>
      </c>
      <c r="W99" s="73">
        <f t="shared" si="112"/>
      </c>
      <c r="X99" s="72">
        <f t="shared" si="113"/>
      </c>
      <c r="Y99" s="72">
        <f t="shared" si="114"/>
      </c>
      <c r="Z99" s="72">
        <f t="shared" si="115"/>
      </c>
      <c r="AA99" s="72">
        <f t="shared" si="116"/>
      </c>
      <c r="AB99" s="72">
        <f t="shared" si="117"/>
      </c>
      <c r="AC99" s="72">
        <f t="shared" si="118"/>
      </c>
      <c r="AD99" s="74">
        <f t="shared" si="125"/>
      </c>
      <c r="AE99" s="73">
        <f t="shared" si="151"/>
      </c>
      <c r="AF99" s="40">
        <f t="shared" si="130"/>
      </c>
      <c r="AG99" s="40">
        <f t="shared" si="98"/>
      </c>
      <c r="AH99" s="40">
        <f t="shared" si="131"/>
      </c>
      <c r="AI99" s="270">
        <f t="shared" si="132"/>
      </c>
      <c r="AJ99" s="40">
        <f>IF($B99="","",I99*IF($G$14="Sí",IF(OR($D99="R",$D99="RST"),IF($D$2="Sí",IF($G99="Motor",$D$6*$W99/(BB99^2),$W99/$D$6)*($AV99*$F99+$AW99*SIN(ACOS($F99))),$W99*$F99))+SUMIF(INICIO,$B99,R_RE),0))</f>
      </c>
      <c r="AK99" s="40">
        <f>IF(B99="","",I99*IF($G$14="Sí",IF(OR($D99="R",$D99="RST"),IF($D$2="Sí",IF($G99="Motor",$D$6*$W99/(BB99^2),$W99/$D$6)*($AW99*$F99-$AV99*SIN(ACOS($F99))),-$W99*SIN(ACOS($F99))))+SUMIF(INICIO,$B99,R_IM),0))</f>
      </c>
      <c r="AL99" s="273">
        <f t="shared" si="133"/>
      </c>
      <c r="AM99" s="40">
        <f>IF(B99="","",I99*IF($H$14="Sí",IF(OR($D99="S",$D99="RST"),IF($D$2="Sí",IF($G99="Motor",$D$6*$W99/(BC99^2),$W99/$D$6)*($AX99*$F99+$AY99*SIN(ACOS($F99))),-$W99*$F99/2-SQRT(3)/2*$W99*SIN(ACOS($F99))))+SUMIF(INICIO,$B99,S_RE),0))</f>
      </c>
      <c r="AN99" s="40">
        <f>IF(B99="","",I99*IF($H$14="Sí",IF(OR($D99="S",$D99="RST"),IF($D$2="Sí",IF($G99="Motor",$D$6*$W99/(BC99^2),$W99/$D$6)*($AY99*$F99-$AX99*SIN(ACOS($F99))),-SQRT(3)/2*$W99*$F99+0.5*$W99*SIN(ACOS($F99))))+SUMIF(INICIO,$B99,S_IM),0))</f>
      </c>
      <c r="AO99" s="273">
        <f t="shared" si="134"/>
      </c>
      <c r="AP99" s="40">
        <f>IF(B99="","",I99*IF($I$14="Sí",IF(OR($D99="T",$D99="RST"),IF($D$2="Sí",IF($G99="Motor",$D$6*$W99/(BD99^2),$W99/$D$6)*($AZ99*$F99+$BA99*SIN(ACOS($F99))),-$W99*$F99/2+SQRT(3)/2*$W99*SIN(ACOS($F99))))+SUMIF(INICIO,$B99,T_RE),0))</f>
      </c>
      <c r="AQ99" s="272">
        <f>IF(B99="","",I99*IF($I$14="Sí",IF(OR($D99="T",$D99="RST"),IF($D$2="Sí",IF($G99="Motor",$D$6*$W99/(BD99^2),$W99/$D$6)*($BA99*$F99-$AZ99*SIN(ACOS($F99))),SQRT(3)/2*$W99*$F99+0.5*$W99*SIN(ACOS($F99))))+SUMIF(INICIO,$B99,T_IM),0))</f>
      </c>
      <c r="AR99" s="40">
        <f t="shared" si="135"/>
      </c>
      <c r="AS99" s="40">
        <f t="shared" si="136"/>
      </c>
      <c r="AT99" s="40">
        <f t="shared" si="137"/>
      </c>
      <c r="AU99" s="40">
        <f t="shared" si="138"/>
      </c>
      <c r="AV99" s="73">
        <f t="shared" si="152"/>
      </c>
      <c r="AW99" s="73">
        <f t="shared" si="153"/>
      </c>
      <c r="AX99" s="73">
        <f t="shared" si="154"/>
      </c>
      <c r="AY99" s="73">
        <f t="shared" si="155"/>
      </c>
      <c r="AZ99" s="73">
        <f t="shared" si="156"/>
      </c>
      <c r="BA99" s="73">
        <f t="shared" si="157"/>
      </c>
      <c r="BB99" s="73">
        <f t="shared" si="158"/>
      </c>
      <c r="BC99" s="73">
        <f t="shared" si="159"/>
      </c>
      <c r="BD99" s="73">
        <f t="shared" si="160"/>
      </c>
      <c r="BE99" s="73">
        <f t="shared" si="139"/>
      </c>
      <c r="BF99" s="73">
        <f t="shared" si="140"/>
      </c>
      <c r="BG99" s="73">
        <f t="shared" si="141"/>
      </c>
      <c r="BH99" s="73">
        <f t="shared" si="119"/>
      </c>
      <c r="BI99" s="73">
        <f>IF(B99="","",100*($D$6-BC99)/$D$6)</f>
      </c>
      <c r="BJ99" s="73">
        <f>IF(B99="","",100*($D$6-BD99)/$D$6)</f>
      </c>
      <c r="BK99" s="40">
        <f t="shared" si="161"/>
      </c>
      <c r="BL99" s="40">
        <f t="shared" si="162"/>
      </c>
      <c r="BM99" s="40">
        <f t="shared" si="163"/>
      </c>
      <c r="BN99" s="40">
        <f t="shared" si="142"/>
      </c>
      <c r="BO99" s="40">
        <f t="shared" si="126"/>
      </c>
      <c r="BP99" s="40">
        <f t="shared" si="143"/>
      </c>
      <c r="BQ99" s="40">
        <f t="shared" si="144"/>
      </c>
      <c r="BR99" s="40">
        <f t="shared" si="145"/>
      </c>
      <c r="BS99" s="40">
        <f t="shared" si="164"/>
      </c>
      <c r="BT99" s="40">
        <f t="shared" si="108"/>
      </c>
      <c r="BU99" s="40">
        <f t="shared" si="146"/>
      </c>
      <c r="BV99" s="75">
        <f t="shared" si="147"/>
      </c>
      <c r="BW99" s="75">
        <f t="shared" si="148"/>
      </c>
      <c r="BX99" s="40">
        <f t="shared" si="127"/>
      </c>
      <c r="BY99" s="40">
        <f t="shared" si="128"/>
      </c>
      <c r="BZ99" s="61"/>
      <c r="CA99" s="73">
        <f t="shared" si="120"/>
      </c>
      <c r="CB99" s="84"/>
      <c r="CC99" s="73">
        <f t="shared" si="165"/>
      </c>
      <c r="CD99" s="73">
        <f t="shared" si="169"/>
      </c>
      <c r="CE99" s="73">
        <f t="shared" si="170"/>
      </c>
      <c r="CF99" s="73">
        <f t="shared" si="171"/>
      </c>
      <c r="CG99" s="73">
        <f t="shared" si="121"/>
      </c>
      <c r="CH99" s="73">
        <f t="shared" si="122"/>
      </c>
      <c r="CI99" s="73">
        <f t="shared" si="123"/>
      </c>
      <c r="CJ99" s="76">
        <f t="shared" si="149"/>
      </c>
      <c r="CK99" s="76">
        <f t="shared" si="166"/>
      </c>
      <c r="CL99" s="76">
        <f t="shared" si="167"/>
      </c>
      <c r="CM99" s="76">
        <f t="shared" si="168"/>
      </c>
      <c r="CN99" s="40">
        <f t="shared" si="129"/>
      </c>
      <c r="CO99" s="40">
        <f t="shared" si="172"/>
      </c>
      <c r="CP99" s="40">
        <f t="shared" si="173"/>
      </c>
      <c r="CQ99" s="40">
        <f t="shared" si="174"/>
      </c>
      <c r="CR99" s="40">
        <f t="shared" si="175"/>
      </c>
      <c r="CS99" s="40">
        <f t="shared" si="176"/>
      </c>
      <c r="CT99" s="40">
        <f t="shared" si="150"/>
      </c>
      <c r="CU99" s="40">
        <f t="shared" si="177"/>
      </c>
      <c r="CV99" s="40">
        <f t="shared" si="178"/>
      </c>
      <c r="CW99" s="40">
        <f t="shared" si="179"/>
      </c>
      <c r="CX99" s="40">
        <f t="shared" si="180"/>
      </c>
      <c r="CY99" s="40">
        <f t="shared" si="181"/>
      </c>
      <c r="CZ99" s="40">
        <f t="shared" si="182"/>
      </c>
      <c r="DA99" s="40">
        <f t="shared" si="124"/>
      </c>
    </row>
    <row r="100" spans="1:105" ht="12.75">
      <c r="A100" s="62"/>
      <c r="B100" s="62"/>
      <c r="C100" s="62"/>
      <c r="D100" s="62"/>
      <c r="E100" s="62"/>
      <c r="F100" s="62"/>
      <c r="G100" s="63"/>
      <c r="H100" s="65"/>
      <c r="I100" s="62"/>
      <c r="J100" s="63"/>
      <c r="K100" s="63"/>
      <c r="L100" s="62"/>
      <c r="M100" s="63"/>
      <c r="N100" s="63"/>
      <c r="O100" s="62"/>
      <c r="P100" s="63"/>
      <c r="Q100" s="138"/>
      <c r="R100" s="138"/>
      <c r="S100" s="138"/>
      <c r="T100" s="138"/>
      <c r="U100" s="77">
        <f t="shared" si="110"/>
      </c>
      <c r="V100" s="77">
        <f t="shared" si="111"/>
      </c>
      <c r="W100" s="78">
        <f t="shared" si="112"/>
      </c>
      <c r="X100" s="77">
        <f t="shared" si="113"/>
      </c>
      <c r="Y100" s="77">
        <f t="shared" si="114"/>
      </c>
      <c r="Z100" s="77">
        <f t="shared" si="115"/>
      </c>
      <c r="AA100" s="77">
        <f t="shared" si="116"/>
      </c>
      <c r="AB100" s="77">
        <f t="shared" si="117"/>
      </c>
      <c r="AC100" s="77">
        <f t="shared" si="118"/>
      </c>
      <c r="AD100" s="56">
        <f t="shared" si="125"/>
      </c>
      <c r="AE100" s="78">
        <f t="shared" si="151"/>
      </c>
      <c r="AF100" s="41">
        <f t="shared" si="130"/>
      </c>
      <c r="AG100" s="41">
        <f t="shared" si="98"/>
      </c>
      <c r="AH100" s="41">
        <f t="shared" si="131"/>
      </c>
      <c r="AI100" s="271">
        <f t="shared" si="132"/>
      </c>
      <c r="AJ100" s="41">
        <f>IF($B100="","",I100*IF($G$14="Sí",IF(OR($D100="R",$D100="RST"),IF($D$2="Sí",IF($G100="Motor",$D$6*$W100/(BB100^2),$W100/$D$6)*($AV100*$F100+$AW100*SIN(ACOS($F100))),$W100*$F100))+SUMIF(INICIO,$B100,R_RE),0))</f>
      </c>
      <c r="AK100" s="41">
        <f>IF(B100="","",I100*IF($G$14="Sí",IF(OR($D100="R",$D100="RST"),IF($D$2="Sí",IF($G100="Motor",$D$6*$W100/(BB100^2),$W100/$D$6)*($AW100*$F100-$AV100*SIN(ACOS($F100))),-$W100*SIN(ACOS($F100))))+SUMIF(INICIO,$B100,R_IM),0))</f>
      </c>
      <c r="AL100" s="275">
        <f t="shared" si="133"/>
      </c>
      <c r="AM100" s="41">
        <f>IF(B100="","",I100*IF($H$14="Sí",IF(OR($D100="S",$D100="RST"),IF($D$2="Sí",IF($G100="Motor",$D$6*$W100/(BC100^2),$W100/$D$6)*($AX100*$F100+$AY100*SIN(ACOS($F100))),-$W100*$F100/2-SQRT(3)/2*$W100*SIN(ACOS($F100))))+SUMIF(INICIO,$B100,S_RE),0))</f>
      </c>
      <c r="AN100" s="41">
        <f>IF(B100="","",I100*IF($H$14="Sí",IF(OR($D100="S",$D100="RST"),IF($D$2="Sí",IF($G100="Motor",$D$6*$W100/(BC100^2),$W100/$D$6)*($AY100*$F100-$AX100*SIN(ACOS($F100))),-SQRT(3)/2*$W100*$F100+0.5*$W100*SIN(ACOS($F100))))+SUMIF(INICIO,$B100,S_IM),0))</f>
      </c>
      <c r="AO100" s="275">
        <f t="shared" si="134"/>
      </c>
      <c r="AP100" s="41">
        <f>IF(B100="","",I100*IF($I$14="Sí",IF(OR($D100="T",$D100="RST"),IF($D$2="Sí",IF($G100="Motor",$D$6*$W100/(BD100^2),$W100/$D$6)*($AZ100*$F100+$BA100*SIN(ACOS($F100))),-$W100*$F100/2+SQRT(3)/2*$W100*SIN(ACOS($F100))))+SUMIF(INICIO,$B100,T_RE),0))</f>
      </c>
      <c r="AQ100" s="272">
        <f>IF(B100="","",I100*IF($I$14="Sí",IF(OR($D100="T",$D100="RST"),IF($D$2="Sí",IF($G100="Motor",$D$6*$W100/(BD100^2),$W100/$D$6)*($BA100*$F100-$AZ100*SIN(ACOS($F100))),SQRT(3)/2*$W100*$F100+0.5*$W100*SIN(ACOS($F100))))+SUMIF(INICIO,$B100,T_IM),0))</f>
      </c>
      <c r="AR100" s="41">
        <f t="shared" si="135"/>
      </c>
      <c r="AS100" s="41">
        <f t="shared" si="136"/>
      </c>
      <c r="AT100" s="41">
        <f t="shared" si="137"/>
      </c>
      <c r="AU100" s="41">
        <f t="shared" si="138"/>
      </c>
      <c r="AV100" s="78">
        <f t="shared" si="152"/>
      </c>
      <c r="AW100" s="78">
        <f t="shared" si="153"/>
      </c>
      <c r="AX100" s="78">
        <f t="shared" si="154"/>
      </c>
      <c r="AY100" s="78">
        <f t="shared" si="155"/>
      </c>
      <c r="AZ100" s="78">
        <f t="shared" si="156"/>
      </c>
      <c r="BA100" s="78">
        <f t="shared" si="157"/>
      </c>
      <c r="BB100" s="78">
        <f t="shared" si="158"/>
      </c>
      <c r="BC100" s="78">
        <f t="shared" si="159"/>
      </c>
      <c r="BD100" s="78">
        <f t="shared" si="160"/>
      </c>
      <c r="BE100" s="78">
        <f t="shared" si="139"/>
      </c>
      <c r="BF100" s="78">
        <f t="shared" si="140"/>
      </c>
      <c r="BG100" s="78">
        <f t="shared" si="141"/>
      </c>
      <c r="BH100" s="78">
        <f t="shared" si="119"/>
      </c>
      <c r="BI100" s="78">
        <f>IF(B100="","",100*($D$6-BC100)/$D$6)</f>
      </c>
      <c r="BJ100" s="78">
        <f>IF(B100="","",100*($D$6-BD100)/$D$6)</f>
      </c>
      <c r="BK100" s="41">
        <f t="shared" si="161"/>
      </c>
      <c r="BL100" s="41">
        <f t="shared" si="162"/>
      </c>
      <c r="BM100" s="41">
        <f t="shared" si="163"/>
      </c>
      <c r="BN100" s="41">
        <f t="shared" si="142"/>
      </c>
      <c r="BO100" s="41">
        <f t="shared" si="126"/>
      </c>
      <c r="BP100" s="41">
        <f t="shared" si="143"/>
      </c>
      <c r="BQ100" s="41">
        <f t="shared" si="144"/>
      </c>
      <c r="BR100" s="41">
        <f t="shared" si="145"/>
      </c>
      <c r="BS100" s="41">
        <f t="shared" si="164"/>
      </c>
      <c r="BT100" s="41">
        <f t="shared" si="108"/>
      </c>
      <c r="BU100" s="41">
        <f t="shared" si="146"/>
      </c>
      <c r="BV100" s="79">
        <f t="shared" si="147"/>
      </c>
      <c r="BW100" s="79">
        <f t="shared" si="148"/>
      </c>
      <c r="BX100" s="41">
        <f t="shared" si="127"/>
      </c>
      <c r="BY100" s="41">
        <f t="shared" si="128"/>
      </c>
      <c r="BZ100" s="63"/>
      <c r="CA100" s="78">
        <f t="shared" si="120"/>
      </c>
      <c r="CB100" s="84"/>
      <c r="CC100" s="78">
        <f t="shared" si="165"/>
      </c>
      <c r="CD100" s="78">
        <f t="shared" si="169"/>
      </c>
      <c r="CE100" s="78">
        <f t="shared" si="170"/>
      </c>
      <c r="CF100" s="78">
        <f t="shared" si="171"/>
      </c>
      <c r="CG100" s="78">
        <f t="shared" si="121"/>
      </c>
      <c r="CH100" s="78">
        <f t="shared" si="122"/>
      </c>
      <c r="CI100" s="78">
        <f t="shared" si="123"/>
      </c>
      <c r="CJ100" s="80">
        <f t="shared" si="149"/>
      </c>
      <c r="CK100" s="80">
        <f t="shared" si="166"/>
      </c>
      <c r="CL100" s="80">
        <f t="shared" si="167"/>
      </c>
      <c r="CM100" s="80">
        <f t="shared" si="168"/>
      </c>
      <c r="CN100" s="41">
        <f t="shared" si="129"/>
      </c>
      <c r="CO100" s="41">
        <f t="shared" si="172"/>
      </c>
      <c r="CP100" s="41">
        <f t="shared" si="173"/>
      </c>
      <c r="CQ100" s="41">
        <f t="shared" si="174"/>
      </c>
      <c r="CR100" s="41">
        <f t="shared" si="175"/>
      </c>
      <c r="CS100" s="41">
        <f t="shared" si="176"/>
      </c>
      <c r="CT100" s="41">
        <f t="shared" si="150"/>
      </c>
      <c r="CU100" s="41">
        <f t="shared" si="177"/>
      </c>
      <c r="CV100" s="41">
        <f t="shared" si="178"/>
      </c>
      <c r="CW100" s="41">
        <f t="shared" si="179"/>
      </c>
      <c r="CX100" s="41">
        <f t="shared" si="180"/>
      </c>
      <c r="CY100" s="41">
        <f t="shared" si="181"/>
      </c>
      <c r="CZ100" s="41">
        <f t="shared" si="182"/>
      </c>
      <c r="DA100" s="41">
        <f t="shared" si="124"/>
      </c>
    </row>
    <row r="101" spans="1:93" ht="12.75">
      <c r="A101" s="1" t="s">
        <v>165</v>
      </c>
      <c r="B101" s="1"/>
      <c r="C101" s="1"/>
      <c r="D101" s="1"/>
      <c r="E101" s="1"/>
      <c r="F101" s="1"/>
      <c r="G101" s="1"/>
      <c r="H101" s="1"/>
      <c r="U101" s="1">
        <f>IF(OR(J101="Cu-PVC",J101="Cu-EPR,XLPE"),IF(K101="","",0.018*C101/K101),IF(K101="","",0.029*C101/K101))</f>
      </c>
      <c r="V101" s="1">
        <f>IF(OR(M101="Cu-PVC",M101="Cu-EPR,XLPE"),IF(N101="","",1.02*0.018*C101/N101),IF(M101="Alm",IF(N101="","",1.02*0.032*C101/N101),IF(N101="","",1.02*0.029*C101/N101)))</f>
      </c>
      <c r="BE101" s="23">
        <f t="shared" si="139"/>
      </c>
      <c r="BF101" s="23">
        <f t="shared" si="140"/>
      </c>
      <c r="BG101" s="23">
        <f t="shared" si="141"/>
      </c>
      <c r="BH101" s="23"/>
      <c r="BI101" s="23"/>
      <c r="BJ101" s="23"/>
      <c r="BY101" s="25">
        <f t="shared" si="128"/>
      </c>
      <c r="CO101" s="25"/>
    </row>
    <row r="102" spans="1:105" ht="12.75">
      <c r="A102" s="1"/>
      <c r="B102" s="1"/>
      <c r="C102" s="1"/>
      <c r="D102" s="1"/>
      <c r="E102" s="1"/>
      <c r="F102" s="1"/>
      <c r="G102" s="1"/>
      <c r="H102" s="1" t="s">
        <v>131</v>
      </c>
      <c r="U102" s="1"/>
      <c r="V102" s="1"/>
      <c r="BE102" s="23"/>
      <c r="BF102" s="23"/>
      <c r="BG102" s="23"/>
      <c r="BH102" s="23"/>
      <c r="BI102" s="23"/>
      <c r="BJ102" s="23"/>
      <c r="BY102" s="25"/>
      <c r="CO102" s="25"/>
      <c r="DA102" s="25">
        <f>SUM(DA20:DA100)</f>
        <v>0</v>
      </c>
    </row>
    <row r="103" spans="1:93" ht="12.75">
      <c r="A103" s="59" t="s">
        <v>76</v>
      </c>
      <c r="B103" s="59" t="s">
        <v>178</v>
      </c>
      <c r="C103" s="59" t="s">
        <v>27</v>
      </c>
      <c r="D103" s="59" t="s">
        <v>171</v>
      </c>
      <c r="E103" s="59" t="s">
        <v>19</v>
      </c>
      <c r="F103" s="59" t="s">
        <v>168</v>
      </c>
      <c r="G103" s="59" t="s">
        <v>192</v>
      </c>
      <c r="H103" s="59" t="s">
        <v>11</v>
      </c>
      <c r="I103" s="59" t="s">
        <v>172</v>
      </c>
      <c r="J103" s="59" t="s">
        <v>173</v>
      </c>
      <c r="K103" s="59" t="s">
        <v>193</v>
      </c>
      <c r="L103" s="59" t="s">
        <v>194</v>
      </c>
      <c r="M103" s="59" t="s">
        <v>98</v>
      </c>
      <c r="N103" s="59" t="s">
        <v>10</v>
      </c>
      <c r="O103" s="59" t="s">
        <v>107</v>
      </c>
      <c r="CO103" s="25"/>
    </row>
    <row r="104" spans="1:93" ht="12.75">
      <c r="A104" s="109" t="s">
        <v>62</v>
      </c>
      <c r="B104" s="109" t="s">
        <v>77</v>
      </c>
      <c r="C104" s="110" t="s">
        <v>136</v>
      </c>
      <c r="D104" s="109">
        <v>115</v>
      </c>
      <c r="E104" s="109">
        <v>1.5</v>
      </c>
      <c r="F104" s="109">
        <v>30</v>
      </c>
      <c r="G104" s="109" t="s">
        <v>111</v>
      </c>
      <c r="H104" s="109">
        <v>40</v>
      </c>
      <c r="I104" s="109">
        <v>0.018</v>
      </c>
      <c r="J104" s="109">
        <v>0.00392</v>
      </c>
      <c r="K104" s="109">
        <v>0</v>
      </c>
      <c r="L104" s="109">
        <v>0</v>
      </c>
      <c r="M104" s="109">
        <v>10</v>
      </c>
      <c r="N104" s="109">
        <v>70</v>
      </c>
      <c r="O104" s="85">
        <v>25</v>
      </c>
      <c r="CO104" s="25"/>
    </row>
    <row r="105" spans="1:93" ht="12.75">
      <c r="A105" s="109" t="s">
        <v>63</v>
      </c>
      <c r="B105" s="109" t="s">
        <v>78</v>
      </c>
      <c r="C105" s="109" t="s">
        <v>139</v>
      </c>
      <c r="D105" s="109">
        <v>115</v>
      </c>
      <c r="E105" s="109">
        <v>2.5</v>
      </c>
      <c r="F105" s="109">
        <v>45</v>
      </c>
      <c r="G105" s="109" t="s">
        <v>112</v>
      </c>
      <c r="H105" s="109">
        <v>25</v>
      </c>
      <c r="I105" s="109">
        <v>0.018</v>
      </c>
      <c r="J105" s="109">
        <v>0.00392</v>
      </c>
      <c r="K105" s="109">
        <v>0</v>
      </c>
      <c r="L105" s="109">
        <v>0</v>
      </c>
      <c r="M105" s="109">
        <v>20</v>
      </c>
      <c r="N105" s="109">
        <v>70</v>
      </c>
      <c r="O105" s="85">
        <v>50</v>
      </c>
      <c r="CO105" s="25"/>
    </row>
    <row r="106" spans="1:93" ht="12.75">
      <c r="A106" s="109" t="s">
        <v>64</v>
      </c>
      <c r="B106" s="109" t="s">
        <v>79</v>
      </c>
      <c r="C106" s="109" t="s">
        <v>137</v>
      </c>
      <c r="D106" s="109">
        <v>143</v>
      </c>
      <c r="E106" s="109">
        <v>4</v>
      </c>
      <c r="F106" s="109">
        <v>50</v>
      </c>
      <c r="G106" s="109" t="s">
        <v>113</v>
      </c>
      <c r="H106" s="109">
        <v>40</v>
      </c>
      <c r="I106" s="109">
        <v>0.018</v>
      </c>
      <c r="J106" s="109">
        <v>0.00392</v>
      </c>
      <c r="K106" s="109">
        <v>0</v>
      </c>
      <c r="L106" s="109">
        <v>0</v>
      </c>
      <c r="M106" s="109">
        <v>30</v>
      </c>
      <c r="N106" s="109">
        <v>90</v>
      </c>
      <c r="O106" s="85">
        <v>100</v>
      </c>
      <c r="BV106" s="22"/>
      <c r="CO106" s="25"/>
    </row>
    <row r="107" spans="1:93" ht="12.75">
      <c r="A107" s="109" t="s">
        <v>65</v>
      </c>
      <c r="B107" s="109"/>
      <c r="C107" s="109" t="s">
        <v>138</v>
      </c>
      <c r="D107" s="109">
        <v>143</v>
      </c>
      <c r="E107" s="109">
        <v>6</v>
      </c>
      <c r="F107" s="109">
        <v>65</v>
      </c>
      <c r="G107" s="109" t="s">
        <v>114</v>
      </c>
      <c r="H107" s="109">
        <v>25</v>
      </c>
      <c r="I107" s="109">
        <v>0.018</v>
      </c>
      <c r="J107" s="109">
        <v>0.00392</v>
      </c>
      <c r="K107" s="109">
        <v>0</v>
      </c>
      <c r="L107" s="109">
        <v>0</v>
      </c>
      <c r="M107" s="109">
        <v>40</v>
      </c>
      <c r="N107" s="109">
        <v>90</v>
      </c>
      <c r="O107" s="85">
        <v>160</v>
      </c>
      <c r="CO107" s="25"/>
    </row>
    <row r="108" spans="1:93" ht="12.75">
      <c r="A108" s="109"/>
      <c r="B108" s="109"/>
      <c r="C108" s="110" t="s">
        <v>44</v>
      </c>
      <c r="D108" s="109">
        <v>143</v>
      </c>
      <c r="E108" s="109">
        <v>10</v>
      </c>
      <c r="F108" s="109">
        <v>50</v>
      </c>
      <c r="G108" s="109"/>
      <c r="H108" s="109">
        <v>40</v>
      </c>
      <c r="I108" s="109">
        <v>0.018</v>
      </c>
      <c r="J108" s="109">
        <v>0.00392</v>
      </c>
      <c r="K108" s="109">
        <v>0</v>
      </c>
      <c r="L108" s="109">
        <v>0.07</v>
      </c>
      <c r="M108" s="109">
        <v>50</v>
      </c>
      <c r="N108" s="109">
        <v>90</v>
      </c>
      <c r="O108" s="85">
        <v>250</v>
      </c>
      <c r="CO108" s="25"/>
    </row>
    <row r="109" spans="1:93" ht="12.75">
      <c r="A109" s="109"/>
      <c r="B109" s="109"/>
      <c r="C109" s="109" t="s">
        <v>45</v>
      </c>
      <c r="D109" s="109">
        <v>143</v>
      </c>
      <c r="E109" s="109">
        <v>16</v>
      </c>
      <c r="F109" s="109">
        <v>65</v>
      </c>
      <c r="G109" s="109"/>
      <c r="H109" s="109">
        <v>25</v>
      </c>
      <c r="I109" s="109">
        <v>0.018</v>
      </c>
      <c r="J109" s="109">
        <v>0.00392</v>
      </c>
      <c r="K109" s="109">
        <v>0</v>
      </c>
      <c r="L109" s="109">
        <v>0.1</v>
      </c>
      <c r="M109" s="109">
        <v>60</v>
      </c>
      <c r="N109" s="109">
        <v>90</v>
      </c>
      <c r="O109" s="85">
        <v>400</v>
      </c>
      <c r="CO109" s="25"/>
    </row>
    <row r="110" spans="1:93" ht="12.75">
      <c r="A110" s="109"/>
      <c r="B110" s="109"/>
      <c r="C110" s="110" t="s">
        <v>46</v>
      </c>
      <c r="D110" s="109">
        <v>76</v>
      </c>
      <c r="E110" s="109">
        <v>25</v>
      </c>
      <c r="F110" s="109">
        <v>30</v>
      </c>
      <c r="G110" s="109"/>
      <c r="H110" s="109">
        <v>40</v>
      </c>
      <c r="I110" s="109">
        <v>0.029</v>
      </c>
      <c r="J110" s="109">
        <v>0.00403</v>
      </c>
      <c r="K110" s="109">
        <v>0</v>
      </c>
      <c r="L110" s="109">
        <v>0.15</v>
      </c>
      <c r="M110" s="109">
        <v>70</v>
      </c>
      <c r="N110" s="109">
        <v>70</v>
      </c>
      <c r="O110" s="85">
        <v>630</v>
      </c>
      <c r="U110" s="22"/>
      <c r="CO110" s="25"/>
    </row>
    <row r="111" spans="1:93" ht="12.75">
      <c r="A111" s="109"/>
      <c r="B111" s="109"/>
      <c r="C111" s="109" t="s">
        <v>47</v>
      </c>
      <c r="D111" s="109">
        <v>76</v>
      </c>
      <c r="E111" s="109">
        <v>35</v>
      </c>
      <c r="F111" s="109">
        <v>45</v>
      </c>
      <c r="G111" s="109"/>
      <c r="H111" s="109">
        <v>25</v>
      </c>
      <c r="I111" s="109">
        <v>0.029</v>
      </c>
      <c r="J111" s="109">
        <v>0.00403</v>
      </c>
      <c r="K111" s="109">
        <v>0</v>
      </c>
      <c r="L111" s="109">
        <v>0.2</v>
      </c>
      <c r="M111" s="109">
        <v>80</v>
      </c>
      <c r="N111" s="109">
        <v>70</v>
      </c>
      <c r="O111" s="109">
        <v>800</v>
      </c>
      <c r="CO111" s="25"/>
    </row>
    <row r="112" spans="1:93" ht="12.75">
      <c r="A112" s="109"/>
      <c r="B112" s="109"/>
      <c r="C112" s="109" t="s">
        <v>48</v>
      </c>
      <c r="D112" s="109">
        <v>94</v>
      </c>
      <c r="E112" s="109">
        <v>50</v>
      </c>
      <c r="F112" s="109">
        <v>50</v>
      </c>
      <c r="G112" s="109"/>
      <c r="H112" s="109">
        <v>40</v>
      </c>
      <c r="I112" s="109">
        <v>0.029</v>
      </c>
      <c r="J112" s="109">
        <v>0.00403</v>
      </c>
      <c r="K112" s="109">
        <v>0</v>
      </c>
      <c r="L112" s="109">
        <v>0.25</v>
      </c>
      <c r="M112" s="109">
        <v>90</v>
      </c>
      <c r="N112" s="109">
        <v>90</v>
      </c>
      <c r="O112" s="109">
        <v>900</v>
      </c>
      <c r="CO112" s="25"/>
    </row>
    <row r="113" spans="1:93" ht="12.75">
      <c r="A113" s="109" t="s">
        <v>228</v>
      </c>
      <c r="B113" s="109"/>
      <c r="C113" s="109" t="s">
        <v>49</v>
      </c>
      <c r="D113" s="109">
        <v>94</v>
      </c>
      <c r="E113" s="109">
        <v>70</v>
      </c>
      <c r="F113" s="109">
        <v>65</v>
      </c>
      <c r="G113" s="109"/>
      <c r="H113" s="109">
        <v>25</v>
      </c>
      <c r="I113" s="109">
        <v>0.029</v>
      </c>
      <c r="J113" s="109">
        <v>0.00403</v>
      </c>
      <c r="K113" s="109">
        <v>0</v>
      </c>
      <c r="L113" s="109">
        <v>0.38</v>
      </c>
      <c r="M113" s="109">
        <v>100</v>
      </c>
      <c r="N113" s="109">
        <v>90</v>
      </c>
      <c r="O113" s="109">
        <v>1000</v>
      </c>
      <c r="CO113" s="25"/>
    </row>
    <row r="114" spans="1:15" ht="12.75">
      <c r="A114" s="109" t="s">
        <v>219</v>
      </c>
      <c r="B114" s="109"/>
      <c r="C114" s="110" t="s">
        <v>50</v>
      </c>
      <c r="D114" s="109">
        <v>94</v>
      </c>
      <c r="E114" s="109">
        <v>95</v>
      </c>
      <c r="F114" s="109">
        <v>50</v>
      </c>
      <c r="G114" s="109"/>
      <c r="H114" s="109">
        <v>40</v>
      </c>
      <c r="I114" s="109">
        <v>0.029</v>
      </c>
      <c r="J114" s="109">
        <v>0.00403</v>
      </c>
      <c r="K114" s="109">
        <v>0</v>
      </c>
      <c r="L114" s="109">
        <v>0.51</v>
      </c>
      <c r="M114" s="111"/>
      <c r="N114" s="109">
        <v>90</v>
      </c>
      <c r="O114" s="109">
        <v>1250</v>
      </c>
    </row>
    <row r="115" spans="1:15" ht="12.75">
      <c r="A115" s="109" t="s">
        <v>26</v>
      </c>
      <c r="B115" s="109"/>
      <c r="C115" s="109" t="s">
        <v>51</v>
      </c>
      <c r="D115" s="109">
        <v>94</v>
      </c>
      <c r="E115" s="109">
        <v>120</v>
      </c>
      <c r="F115" s="109">
        <v>65</v>
      </c>
      <c r="G115" s="109"/>
      <c r="H115" s="109">
        <v>25</v>
      </c>
      <c r="I115" s="109">
        <v>0.029</v>
      </c>
      <c r="J115" s="109">
        <v>0.00403</v>
      </c>
      <c r="K115" s="109">
        <v>0</v>
      </c>
      <c r="L115" s="109">
        <v>0.63</v>
      </c>
      <c r="M115" s="111"/>
      <c r="N115" s="109">
        <v>90</v>
      </c>
      <c r="O115" s="109">
        <v>1600</v>
      </c>
    </row>
    <row r="116" spans="1:15" ht="12.75">
      <c r="A116" s="109"/>
      <c r="B116" s="109"/>
      <c r="C116" s="110" t="s">
        <v>169</v>
      </c>
      <c r="D116" s="109">
        <v>94</v>
      </c>
      <c r="E116" s="109">
        <v>150</v>
      </c>
      <c r="F116" s="109">
        <v>65</v>
      </c>
      <c r="G116" s="109"/>
      <c r="H116" s="109">
        <v>40</v>
      </c>
      <c r="I116" s="109">
        <v>0.032</v>
      </c>
      <c r="J116" s="109">
        <v>0.0036</v>
      </c>
      <c r="K116" s="109">
        <v>0.15</v>
      </c>
      <c r="L116" s="109">
        <v>0.78</v>
      </c>
      <c r="M116" s="111"/>
      <c r="N116" s="109">
        <v>90</v>
      </c>
      <c r="O116" s="109">
        <v>2000</v>
      </c>
    </row>
    <row r="117" spans="1:15" ht="12.75">
      <c r="A117" s="109"/>
      <c r="B117" s="109"/>
      <c r="C117" s="109"/>
      <c r="D117" s="109"/>
      <c r="E117" s="109">
        <v>185</v>
      </c>
      <c r="F117" s="109"/>
      <c r="G117" s="109"/>
      <c r="H117" s="109"/>
      <c r="I117" s="111"/>
      <c r="J117" s="109"/>
      <c r="K117" s="109">
        <v>0.2</v>
      </c>
      <c r="L117" s="109">
        <v>0.94</v>
      </c>
      <c r="M117" s="111"/>
      <c r="N117" s="111"/>
      <c r="O117" s="109">
        <v>2500</v>
      </c>
    </row>
    <row r="118" spans="1:15" ht="12.75">
      <c r="A118" s="109"/>
      <c r="B118" s="109"/>
      <c r="C118" s="109"/>
      <c r="D118" s="109"/>
      <c r="E118" s="109">
        <v>240</v>
      </c>
      <c r="F118" s="109"/>
      <c r="G118" s="109"/>
      <c r="H118" s="109"/>
      <c r="I118" s="111"/>
      <c r="J118" s="111"/>
      <c r="K118" s="109">
        <v>0.25</v>
      </c>
      <c r="L118" s="109">
        <v>1.21</v>
      </c>
      <c r="M118" s="111"/>
      <c r="N118" s="111"/>
      <c r="O118" s="109"/>
    </row>
    <row r="119" spans="1:15" ht="12.75">
      <c r="A119" s="112"/>
      <c r="B119" s="112"/>
      <c r="C119" s="112"/>
      <c r="D119" s="112"/>
      <c r="E119" s="109">
        <v>300</v>
      </c>
      <c r="F119" s="112"/>
      <c r="G119" s="112"/>
      <c r="H119" s="112"/>
      <c r="I119" s="113"/>
      <c r="J119" s="113"/>
      <c r="K119" s="109">
        <v>0.3</v>
      </c>
      <c r="L119" s="109">
        <v>1.4</v>
      </c>
      <c r="M119" s="113"/>
      <c r="N119" s="113"/>
      <c r="O119" s="112"/>
    </row>
    <row r="120" spans="1:12" ht="12.75">
      <c r="A120" s="1"/>
      <c r="B120" s="1"/>
      <c r="C120" s="1"/>
      <c r="D120" s="1"/>
      <c r="E120" s="109">
        <v>400</v>
      </c>
      <c r="F120" s="1"/>
      <c r="G120" s="1"/>
      <c r="H120" s="1"/>
      <c r="K120" s="85">
        <v>0.35</v>
      </c>
      <c r="L120" s="85">
        <v>1.6</v>
      </c>
    </row>
    <row r="121" spans="5:12" ht="12.75">
      <c r="E121" s="85">
        <v>500</v>
      </c>
      <c r="K121" s="85">
        <v>0.4</v>
      </c>
      <c r="L121" s="85">
        <v>1.8</v>
      </c>
    </row>
    <row r="122" spans="5:12" ht="12.75">
      <c r="E122" s="85">
        <v>630</v>
      </c>
      <c r="K122" s="85">
        <v>0.45</v>
      </c>
      <c r="L122" s="85">
        <v>2</v>
      </c>
    </row>
    <row r="123" spans="5:12" ht="12.75">
      <c r="E123" s="137">
        <v>54.6</v>
      </c>
      <c r="K123" s="137">
        <v>0</v>
      </c>
      <c r="L123" s="137">
        <v>0.28</v>
      </c>
    </row>
    <row r="124" spans="5:12" ht="12.75">
      <c r="E124" s="136">
        <v>80</v>
      </c>
      <c r="K124" s="136">
        <v>0</v>
      </c>
      <c r="L124" s="112">
        <v>0.43</v>
      </c>
    </row>
    <row r="127" ht="13.5" thickBot="1"/>
    <row r="128" spans="2:11" ht="13.5" thickTop="1">
      <c r="B128" s="205" t="s">
        <v>236</v>
      </c>
      <c r="C128" s="206"/>
      <c r="D128" s="206"/>
      <c r="E128" s="206"/>
      <c r="F128" s="206"/>
      <c r="G128" s="206"/>
      <c r="H128" s="208"/>
      <c r="I128" s="208"/>
      <c r="J128" s="208"/>
      <c r="K128" s="209"/>
    </row>
    <row r="129" spans="2:11" ht="13.5" thickBot="1">
      <c r="B129" s="198" t="s">
        <v>293</v>
      </c>
      <c r="C129" s="196"/>
      <c r="D129" s="197" t="s">
        <v>294</v>
      </c>
      <c r="E129" s="196"/>
      <c r="F129" s="197" t="s">
        <v>295</v>
      </c>
      <c r="G129" s="196"/>
      <c r="H129" s="210" t="s">
        <v>294</v>
      </c>
      <c r="I129" s="196"/>
      <c r="J129" s="197" t="s">
        <v>121</v>
      </c>
      <c r="K129" s="199"/>
    </row>
    <row r="130" spans="1:11" ht="13.5" thickTop="1">
      <c r="A130" s="235" t="s">
        <v>284</v>
      </c>
      <c r="B130" s="200" t="s">
        <v>298</v>
      </c>
      <c r="C130" s="59" t="s">
        <v>299</v>
      </c>
      <c r="D130" s="59" t="s">
        <v>298</v>
      </c>
      <c r="E130" s="59" t="s">
        <v>299</v>
      </c>
      <c r="F130" s="59" t="s">
        <v>120</v>
      </c>
      <c r="G130" s="59" t="s">
        <v>299</v>
      </c>
      <c r="H130" s="211" t="s">
        <v>117</v>
      </c>
      <c r="I130" s="59" t="s">
        <v>118</v>
      </c>
      <c r="J130" s="59" t="s">
        <v>119</v>
      </c>
      <c r="K130" s="201" t="s">
        <v>118</v>
      </c>
    </row>
    <row r="131" spans="1:11" ht="12.75">
      <c r="A131" s="236">
        <v>1.5</v>
      </c>
      <c r="B131" s="202" t="s">
        <v>292</v>
      </c>
      <c r="C131" s="195" t="s">
        <v>292</v>
      </c>
      <c r="D131" s="195" t="s">
        <v>292</v>
      </c>
      <c r="E131" s="195" t="s">
        <v>292</v>
      </c>
      <c r="F131" s="195" t="s">
        <v>292</v>
      </c>
      <c r="G131" s="195" t="s">
        <v>292</v>
      </c>
      <c r="H131" s="212" t="s">
        <v>292</v>
      </c>
      <c r="I131" s="195" t="s">
        <v>292</v>
      </c>
      <c r="J131" s="195" t="s">
        <v>292</v>
      </c>
      <c r="K131" s="189" t="s">
        <v>292</v>
      </c>
    </row>
    <row r="132" spans="1:11" ht="12.75">
      <c r="A132" s="236">
        <v>2.5</v>
      </c>
      <c r="B132" s="190" t="s">
        <v>292</v>
      </c>
      <c r="C132" s="109" t="s">
        <v>292</v>
      </c>
      <c r="D132" s="109" t="s">
        <v>292</v>
      </c>
      <c r="E132" s="109" t="s">
        <v>292</v>
      </c>
      <c r="F132" s="109" t="s">
        <v>292</v>
      </c>
      <c r="G132" s="109" t="s">
        <v>292</v>
      </c>
      <c r="H132" s="213" t="s">
        <v>292</v>
      </c>
      <c r="I132" s="109" t="s">
        <v>292</v>
      </c>
      <c r="J132" s="109" t="s">
        <v>292</v>
      </c>
      <c r="K132" s="191" t="s">
        <v>292</v>
      </c>
    </row>
    <row r="133" spans="1:11" ht="12.75">
      <c r="A133" s="236">
        <v>4</v>
      </c>
      <c r="B133" s="190" t="s">
        <v>292</v>
      </c>
      <c r="C133" s="109" t="s">
        <v>292</v>
      </c>
      <c r="D133" s="109" t="s">
        <v>292</v>
      </c>
      <c r="E133" s="109" t="s">
        <v>292</v>
      </c>
      <c r="F133" s="109" t="s">
        <v>292</v>
      </c>
      <c r="G133" s="109" t="s">
        <v>292</v>
      </c>
      <c r="H133" s="213" t="s">
        <v>292</v>
      </c>
      <c r="I133" s="109" t="s">
        <v>292</v>
      </c>
      <c r="J133" s="109" t="s">
        <v>292</v>
      </c>
      <c r="K133" s="191" t="s">
        <v>292</v>
      </c>
    </row>
    <row r="134" spans="1:11" ht="12.75">
      <c r="A134" s="236">
        <v>6</v>
      </c>
      <c r="B134" s="190" t="s">
        <v>292</v>
      </c>
      <c r="C134" s="109" t="s">
        <v>292</v>
      </c>
      <c r="D134" s="109" t="s">
        <v>292</v>
      </c>
      <c r="E134" s="109" t="s">
        <v>292</v>
      </c>
      <c r="F134" s="109" t="s">
        <v>292</v>
      </c>
      <c r="G134" s="109" t="s">
        <v>292</v>
      </c>
      <c r="H134" s="213" t="s">
        <v>292</v>
      </c>
      <c r="I134" s="109" t="s">
        <v>292</v>
      </c>
      <c r="J134" s="109" t="s">
        <v>292</v>
      </c>
      <c r="K134" s="191" t="s">
        <v>292</v>
      </c>
    </row>
    <row r="135" spans="1:11" ht="12.75">
      <c r="A135" s="236">
        <v>10</v>
      </c>
      <c r="B135" s="190" t="s">
        <v>292</v>
      </c>
      <c r="C135" s="109" t="s">
        <v>292</v>
      </c>
      <c r="D135" s="109" t="s">
        <v>292</v>
      </c>
      <c r="E135" s="109" t="s">
        <v>292</v>
      </c>
      <c r="F135" s="109" t="s">
        <v>292</v>
      </c>
      <c r="G135" s="109" t="s">
        <v>292</v>
      </c>
      <c r="H135" s="213">
        <v>77</v>
      </c>
      <c r="I135" s="109">
        <v>65</v>
      </c>
      <c r="J135" s="109">
        <v>85</v>
      </c>
      <c r="K135" s="191">
        <v>72</v>
      </c>
    </row>
    <row r="136" spans="1:11" ht="12.75">
      <c r="A136" s="236">
        <v>16</v>
      </c>
      <c r="B136" s="190" t="s">
        <v>292</v>
      </c>
      <c r="C136" s="109" t="s">
        <v>292</v>
      </c>
      <c r="D136" s="109">
        <v>73</v>
      </c>
      <c r="E136" s="109">
        <v>67</v>
      </c>
      <c r="F136" s="109">
        <v>81</v>
      </c>
      <c r="G136" s="109">
        <v>72</v>
      </c>
      <c r="H136" s="213" t="s">
        <v>292</v>
      </c>
      <c r="I136" s="109">
        <v>86</v>
      </c>
      <c r="J136" s="109" t="s">
        <v>292</v>
      </c>
      <c r="K136" s="191">
        <v>95</v>
      </c>
    </row>
    <row r="137" spans="1:11" ht="12.75">
      <c r="A137" s="236">
        <v>25</v>
      </c>
      <c r="B137" s="190">
        <v>110</v>
      </c>
      <c r="C137" s="109">
        <v>100</v>
      </c>
      <c r="D137" s="109">
        <v>101</v>
      </c>
      <c r="E137" s="109">
        <v>90</v>
      </c>
      <c r="F137" s="109">
        <v>109</v>
      </c>
      <c r="G137" s="109">
        <v>97</v>
      </c>
      <c r="H137" s="213" t="s">
        <v>292</v>
      </c>
      <c r="I137" s="109" t="s">
        <v>292</v>
      </c>
      <c r="J137" s="109" t="s">
        <v>292</v>
      </c>
      <c r="K137" s="191" t="s">
        <v>292</v>
      </c>
    </row>
    <row r="138" spans="1:11" ht="12.75">
      <c r="A138" s="236">
        <v>35</v>
      </c>
      <c r="B138" s="190">
        <v>165</v>
      </c>
      <c r="C138" s="109" t="s">
        <v>292</v>
      </c>
      <c r="D138" s="109" t="s">
        <v>292</v>
      </c>
      <c r="E138" s="109" t="s">
        <v>292</v>
      </c>
      <c r="F138" s="109" t="s">
        <v>292</v>
      </c>
      <c r="G138" s="109" t="s">
        <v>292</v>
      </c>
      <c r="H138" s="213" t="s">
        <v>292</v>
      </c>
      <c r="I138" s="109" t="s">
        <v>292</v>
      </c>
      <c r="J138" s="109" t="s">
        <v>292</v>
      </c>
      <c r="K138" s="191" t="s">
        <v>292</v>
      </c>
    </row>
    <row r="139" spans="1:11" ht="12.75">
      <c r="A139" s="236">
        <v>50</v>
      </c>
      <c r="B139" s="190" t="s">
        <v>292</v>
      </c>
      <c r="C139" s="109">
        <v>150</v>
      </c>
      <c r="D139" s="109" t="s">
        <v>292</v>
      </c>
      <c r="E139" s="109">
        <v>133</v>
      </c>
      <c r="F139" s="109" t="s">
        <v>292</v>
      </c>
      <c r="G139" s="109">
        <v>144</v>
      </c>
      <c r="H139" s="213" t="s">
        <v>292</v>
      </c>
      <c r="I139" s="109" t="s">
        <v>292</v>
      </c>
      <c r="J139" s="109" t="s">
        <v>292</v>
      </c>
      <c r="K139" s="191" t="s">
        <v>292</v>
      </c>
    </row>
    <row r="140" spans="1:11" ht="12.75">
      <c r="A140" s="236">
        <v>70</v>
      </c>
      <c r="B140" s="190" t="s">
        <v>292</v>
      </c>
      <c r="C140" s="109" t="s">
        <v>292</v>
      </c>
      <c r="D140" s="109" t="s">
        <v>292</v>
      </c>
      <c r="E140" s="109" t="s">
        <v>292</v>
      </c>
      <c r="F140" s="109" t="s">
        <v>292</v>
      </c>
      <c r="G140" s="109" t="s">
        <v>292</v>
      </c>
      <c r="H140" s="213" t="s">
        <v>292</v>
      </c>
      <c r="I140" s="109" t="s">
        <v>292</v>
      </c>
      <c r="J140" s="109" t="s">
        <v>292</v>
      </c>
      <c r="K140" s="191" t="s">
        <v>292</v>
      </c>
    </row>
    <row r="141" spans="1:11" ht="12.75">
      <c r="A141" s="236">
        <v>95</v>
      </c>
      <c r="B141" s="190" t="s">
        <v>292</v>
      </c>
      <c r="C141" s="109">
        <v>230</v>
      </c>
      <c r="D141" s="109" t="s">
        <v>292</v>
      </c>
      <c r="E141" s="109">
        <v>207</v>
      </c>
      <c r="F141" s="109" t="s">
        <v>292</v>
      </c>
      <c r="G141" s="109">
        <v>223</v>
      </c>
      <c r="H141" s="213" t="s">
        <v>292</v>
      </c>
      <c r="I141" s="109" t="s">
        <v>292</v>
      </c>
      <c r="J141" s="109" t="s">
        <v>292</v>
      </c>
      <c r="K141" s="191" t="s">
        <v>292</v>
      </c>
    </row>
    <row r="142" spans="1:11" ht="12.75">
      <c r="A142" s="236">
        <v>120</v>
      </c>
      <c r="B142" s="190" t="s">
        <v>292</v>
      </c>
      <c r="C142" s="109" t="s">
        <v>292</v>
      </c>
      <c r="D142" s="109" t="s">
        <v>292</v>
      </c>
      <c r="E142" s="109" t="s">
        <v>292</v>
      </c>
      <c r="F142" s="109" t="s">
        <v>292</v>
      </c>
      <c r="G142" s="109" t="s">
        <v>292</v>
      </c>
      <c r="H142" s="213" t="s">
        <v>292</v>
      </c>
      <c r="I142" s="109" t="s">
        <v>292</v>
      </c>
      <c r="J142" s="109" t="s">
        <v>292</v>
      </c>
      <c r="K142" s="191" t="s">
        <v>292</v>
      </c>
    </row>
    <row r="143" spans="1:11" ht="13.5" thickBot="1">
      <c r="A143" s="236">
        <v>150</v>
      </c>
      <c r="B143" s="190" t="s">
        <v>292</v>
      </c>
      <c r="C143" s="109">
        <v>305</v>
      </c>
      <c r="D143" s="203" t="s">
        <v>292</v>
      </c>
      <c r="E143" s="203">
        <v>277</v>
      </c>
      <c r="F143" s="203" t="s">
        <v>292</v>
      </c>
      <c r="G143" s="203">
        <v>30</v>
      </c>
      <c r="H143" s="214" t="s">
        <v>292</v>
      </c>
      <c r="I143" s="203" t="s">
        <v>292</v>
      </c>
      <c r="J143" s="203" t="s">
        <v>292</v>
      </c>
      <c r="K143" s="204" t="s">
        <v>292</v>
      </c>
    </row>
    <row r="144" spans="1:7" ht="13.5" thickTop="1">
      <c r="A144" s="237" t="s">
        <v>296</v>
      </c>
      <c r="B144" s="202">
        <v>165</v>
      </c>
      <c r="C144" s="189">
        <v>150</v>
      </c>
      <c r="D144" s="1"/>
      <c r="E144" s="1"/>
      <c r="F144" s="1"/>
      <c r="G144" s="1"/>
    </row>
    <row r="145" spans="1:5" ht="13.5" thickBot="1">
      <c r="A145" s="238" t="s">
        <v>297</v>
      </c>
      <c r="B145" s="192" t="s">
        <v>292</v>
      </c>
      <c r="C145" s="204">
        <v>180</v>
      </c>
      <c r="D145" s="1"/>
      <c r="E145" s="1"/>
    </row>
    <row r="146" ht="13.5" thickTop="1"/>
    <row r="147" ht="13.5" thickBot="1"/>
    <row r="148" spans="2:13" ht="13.5" thickTop="1">
      <c r="B148" s="205" t="s">
        <v>237</v>
      </c>
      <c r="C148" s="206"/>
      <c r="D148" s="206"/>
      <c r="E148" s="206"/>
      <c r="F148" s="206"/>
      <c r="G148" s="206"/>
      <c r="H148" s="208"/>
      <c r="I148" s="208"/>
      <c r="J148" s="208"/>
      <c r="K148" s="208"/>
      <c r="L148" s="208"/>
      <c r="M148" s="209"/>
    </row>
    <row r="149" spans="2:13" ht="13.5" thickBot="1">
      <c r="B149" s="198" t="s">
        <v>122</v>
      </c>
      <c r="C149" s="210"/>
      <c r="D149" s="196"/>
      <c r="E149" s="210" t="s">
        <v>123</v>
      </c>
      <c r="F149" s="210"/>
      <c r="G149" s="196"/>
      <c r="H149" s="198" t="s">
        <v>239</v>
      </c>
      <c r="I149" s="210"/>
      <c r="J149" s="196"/>
      <c r="K149" s="210" t="s">
        <v>240</v>
      </c>
      <c r="L149" s="210"/>
      <c r="M149" s="199"/>
    </row>
    <row r="150" spans="1:13" ht="13.5" thickTop="1">
      <c r="A150" s="235" t="s">
        <v>284</v>
      </c>
      <c r="B150" s="200" t="s">
        <v>124</v>
      </c>
      <c r="C150" s="59" t="s">
        <v>125</v>
      </c>
      <c r="D150" s="59" t="s">
        <v>126</v>
      </c>
      <c r="E150" s="200" t="s">
        <v>124</v>
      </c>
      <c r="F150" s="59" t="s">
        <v>125</v>
      </c>
      <c r="G150" s="59" t="s">
        <v>126</v>
      </c>
      <c r="H150" s="200" t="s">
        <v>124</v>
      </c>
      <c r="I150" s="59" t="s">
        <v>125</v>
      </c>
      <c r="J150" s="26" t="s">
        <v>126</v>
      </c>
      <c r="K150" s="59" t="s">
        <v>124</v>
      </c>
      <c r="L150" s="59" t="s">
        <v>125</v>
      </c>
      <c r="M150" s="201" t="s">
        <v>126</v>
      </c>
    </row>
    <row r="151" spans="1:13" ht="12.75">
      <c r="A151" s="236">
        <v>6</v>
      </c>
      <c r="B151" s="190" t="s">
        <v>292</v>
      </c>
      <c r="C151" s="109" t="s">
        <v>292</v>
      </c>
      <c r="D151" s="109" t="s">
        <v>292</v>
      </c>
      <c r="E151" s="109" t="s">
        <v>292</v>
      </c>
      <c r="F151" s="109" t="s">
        <v>292</v>
      </c>
      <c r="G151" s="109" t="s">
        <v>292</v>
      </c>
      <c r="H151" s="190">
        <v>72</v>
      </c>
      <c r="I151" s="109">
        <v>70</v>
      </c>
      <c r="J151" s="109">
        <v>63</v>
      </c>
      <c r="K151" s="109">
        <v>66</v>
      </c>
      <c r="L151" s="109">
        <v>64</v>
      </c>
      <c r="M151" s="191">
        <v>56</v>
      </c>
    </row>
    <row r="152" spans="1:13" ht="12.75">
      <c r="A152" s="236">
        <v>10</v>
      </c>
      <c r="B152" s="190" t="s">
        <v>292</v>
      </c>
      <c r="C152" s="109" t="s">
        <v>292</v>
      </c>
      <c r="D152" s="109" t="s">
        <v>292</v>
      </c>
      <c r="E152" s="109" t="s">
        <v>292</v>
      </c>
      <c r="F152" s="109" t="s">
        <v>292</v>
      </c>
      <c r="G152" s="109" t="s">
        <v>292</v>
      </c>
      <c r="H152" s="190">
        <v>96</v>
      </c>
      <c r="I152" s="109">
        <v>94</v>
      </c>
      <c r="J152" s="109">
        <v>85</v>
      </c>
      <c r="K152" s="109">
        <v>88</v>
      </c>
      <c r="L152" s="109">
        <v>85</v>
      </c>
      <c r="M152" s="191">
        <v>75</v>
      </c>
    </row>
    <row r="153" spans="1:13" ht="12.75">
      <c r="A153" s="236">
        <v>16</v>
      </c>
      <c r="B153" s="190">
        <v>97</v>
      </c>
      <c r="C153" s="109">
        <v>97</v>
      </c>
      <c r="D153" s="109">
        <v>86</v>
      </c>
      <c r="E153" s="109">
        <v>90</v>
      </c>
      <c r="F153" s="109">
        <v>86</v>
      </c>
      <c r="G153" s="109">
        <v>76</v>
      </c>
      <c r="H153" s="190">
        <v>125</v>
      </c>
      <c r="I153" s="109">
        <v>120</v>
      </c>
      <c r="J153" s="109">
        <v>110</v>
      </c>
      <c r="K153" s="109">
        <v>115</v>
      </c>
      <c r="L153" s="109">
        <v>110</v>
      </c>
      <c r="M153" s="191">
        <v>97</v>
      </c>
    </row>
    <row r="154" spans="1:13" ht="12.75">
      <c r="A154" s="236">
        <v>25</v>
      </c>
      <c r="B154" s="190">
        <v>125</v>
      </c>
      <c r="C154" s="109">
        <v>120</v>
      </c>
      <c r="D154" s="109">
        <v>110</v>
      </c>
      <c r="E154" s="109">
        <v>115</v>
      </c>
      <c r="F154" s="109">
        <v>110</v>
      </c>
      <c r="G154" s="109">
        <v>98</v>
      </c>
      <c r="H154" s="190">
        <v>160</v>
      </c>
      <c r="I154" s="109">
        <v>155</v>
      </c>
      <c r="J154" s="109">
        <v>140</v>
      </c>
      <c r="K154" s="109">
        <v>150</v>
      </c>
      <c r="L154" s="109">
        <v>140</v>
      </c>
      <c r="M154" s="191">
        <v>125</v>
      </c>
    </row>
    <row r="155" spans="1:13" ht="12.75">
      <c r="A155" s="236">
        <v>35</v>
      </c>
      <c r="B155" s="190">
        <v>150</v>
      </c>
      <c r="C155" s="109">
        <v>145</v>
      </c>
      <c r="D155" s="109">
        <v>130</v>
      </c>
      <c r="E155" s="109">
        <v>140</v>
      </c>
      <c r="F155" s="109">
        <v>135</v>
      </c>
      <c r="G155" s="109">
        <v>120</v>
      </c>
      <c r="H155" s="190">
        <v>190</v>
      </c>
      <c r="I155" s="109">
        <v>185</v>
      </c>
      <c r="J155" s="109">
        <v>170</v>
      </c>
      <c r="K155" s="109">
        <v>180</v>
      </c>
      <c r="L155" s="109">
        <v>175</v>
      </c>
      <c r="M155" s="191">
        <v>150</v>
      </c>
    </row>
    <row r="156" spans="1:13" ht="12.75">
      <c r="A156" s="236">
        <v>50</v>
      </c>
      <c r="B156" s="190">
        <v>180</v>
      </c>
      <c r="C156" s="109">
        <v>175</v>
      </c>
      <c r="D156" s="109">
        <v>155</v>
      </c>
      <c r="E156" s="109">
        <v>165</v>
      </c>
      <c r="F156" s="109">
        <v>160</v>
      </c>
      <c r="G156" s="109">
        <v>140</v>
      </c>
      <c r="H156" s="190">
        <v>230</v>
      </c>
      <c r="I156" s="109">
        <v>225</v>
      </c>
      <c r="J156" s="109">
        <v>200</v>
      </c>
      <c r="K156" s="109">
        <v>215</v>
      </c>
      <c r="L156" s="109">
        <v>205</v>
      </c>
      <c r="M156" s="191">
        <v>180</v>
      </c>
    </row>
    <row r="157" spans="1:13" ht="12.75">
      <c r="A157" s="236">
        <v>70</v>
      </c>
      <c r="B157" s="190">
        <v>220</v>
      </c>
      <c r="C157" s="109">
        <v>215</v>
      </c>
      <c r="D157" s="109">
        <v>190</v>
      </c>
      <c r="E157" s="109">
        <v>205</v>
      </c>
      <c r="F157" s="109">
        <v>220</v>
      </c>
      <c r="G157" s="109">
        <v>170</v>
      </c>
      <c r="H157" s="190">
        <v>280</v>
      </c>
      <c r="I157" s="109">
        <v>270</v>
      </c>
      <c r="J157" s="109">
        <v>245</v>
      </c>
      <c r="K157" s="109">
        <v>260</v>
      </c>
      <c r="L157" s="109">
        <v>250</v>
      </c>
      <c r="M157" s="191">
        <v>220</v>
      </c>
    </row>
    <row r="158" spans="1:13" ht="12.75">
      <c r="A158" s="236">
        <v>95</v>
      </c>
      <c r="B158" s="190">
        <v>260</v>
      </c>
      <c r="C158" s="109">
        <v>255</v>
      </c>
      <c r="D158" s="109">
        <v>225</v>
      </c>
      <c r="E158" s="109">
        <v>240</v>
      </c>
      <c r="F158" s="109">
        <v>235</v>
      </c>
      <c r="G158" s="109">
        <v>210</v>
      </c>
      <c r="H158" s="190">
        <v>335</v>
      </c>
      <c r="I158" s="109">
        <v>325</v>
      </c>
      <c r="J158" s="109">
        <v>290</v>
      </c>
      <c r="K158" s="109">
        <v>310</v>
      </c>
      <c r="L158" s="109">
        <v>305</v>
      </c>
      <c r="M158" s="191">
        <v>265</v>
      </c>
    </row>
    <row r="159" spans="1:13" ht="12.75">
      <c r="A159" s="236">
        <v>120</v>
      </c>
      <c r="B159" s="190">
        <v>295</v>
      </c>
      <c r="C159" s="109">
        <v>290</v>
      </c>
      <c r="D159" s="109">
        <v>260</v>
      </c>
      <c r="E159" s="109">
        <v>275</v>
      </c>
      <c r="F159" s="109">
        <v>270</v>
      </c>
      <c r="G159" s="109">
        <v>235</v>
      </c>
      <c r="H159" s="190">
        <v>380</v>
      </c>
      <c r="I159" s="109">
        <v>375</v>
      </c>
      <c r="J159" s="109">
        <v>335</v>
      </c>
      <c r="K159" s="109">
        <v>355</v>
      </c>
      <c r="L159" s="109">
        <v>350</v>
      </c>
      <c r="M159" s="191">
        <v>305</v>
      </c>
    </row>
    <row r="160" spans="1:13" ht="12.75">
      <c r="A160" s="236">
        <v>150</v>
      </c>
      <c r="B160" s="190">
        <v>330</v>
      </c>
      <c r="C160" s="109">
        <v>325</v>
      </c>
      <c r="D160" s="109">
        <v>290</v>
      </c>
      <c r="E160" s="109">
        <v>310</v>
      </c>
      <c r="F160" s="109">
        <v>305</v>
      </c>
      <c r="G160" s="109">
        <v>265</v>
      </c>
      <c r="H160" s="190">
        <v>425</v>
      </c>
      <c r="I160" s="109">
        <v>415</v>
      </c>
      <c r="J160" s="109">
        <v>370</v>
      </c>
      <c r="K160" s="109">
        <v>400</v>
      </c>
      <c r="L160" s="109">
        <v>390</v>
      </c>
      <c r="M160" s="191">
        <v>340</v>
      </c>
    </row>
    <row r="161" spans="1:13" ht="12.75">
      <c r="A161" s="236">
        <v>185</v>
      </c>
      <c r="B161" s="190">
        <v>375</v>
      </c>
      <c r="C161" s="109">
        <v>365</v>
      </c>
      <c r="D161" s="109">
        <v>325</v>
      </c>
      <c r="E161" s="109">
        <v>350</v>
      </c>
      <c r="F161" s="109">
        <v>345</v>
      </c>
      <c r="G161" s="109">
        <v>300</v>
      </c>
      <c r="H161" s="190">
        <v>480</v>
      </c>
      <c r="I161" s="109">
        <v>470</v>
      </c>
      <c r="J161" s="109">
        <v>420</v>
      </c>
      <c r="K161" s="109">
        <v>450</v>
      </c>
      <c r="L161" s="109">
        <v>440</v>
      </c>
      <c r="M161" s="191">
        <v>385</v>
      </c>
    </row>
    <row r="162" spans="1:13" ht="12.75">
      <c r="A162" s="236">
        <v>240</v>
      </c>
      <c r="B162" s="190">
        <v>430</v>
      </c>
      <c r="C162" s="109">
        <v>420</v>
      </c>
      <c r="D162" s="109">
        <v>380</v>
      </c>
      <c r="E162" s="109">
        <v>405</v>
      </c>
      <c r="F162" s="109">
        <v>395</v>
      </c>
      <c r="G162" s="109">
        <v>350</v>
      </c>
      <c r="H162" s="190">
        <v>550</v>
      </c>
      <c r="I162" s="109">
        <v>540</v>
      </c>
      <c r="J162" s="109">
        <v>485</v>
      </c>
      <c r="K162" s="109">
        <v>520</v>
      </c>
      <c r="L162" s="109">
        <v>505</v>
      </c>
      <c r="M162" s="191">
        <v>445</v>
      </c>
    </row>
    <row r="163" spans="1:13" ht="12.75">
      <c r="A163" s="236">
        <v>300</v>
      </c>
      <c r="B163" s="190">
        <v>485</v>
      </c>
      <c r="C163" s="109">
        <v>475</v>
      </c>
      <c r="D163" s="109">
        <v>430</v>
      </c>
      <c r="E163" s="109">
        <v>460</v>
      </c>
      <c r="F163" s="109">
        <v>445</v>
      </c>
      <c r="G163" s="109">
        <v>395</v>
      </c>
      <c r="H163" s="190">
        <v>620</v>
      </c>
      <c r="I163" s="109">
        <v>610</v>
      </c>
      <c r="J163" s="109">
        <v>550</v>
      </c>
      <c r="K163" s="109">
        <v>590</v>
      </c>
      <c r="L163" s="109">
        <v>565</v>
      </c>
      <c r="M163" s="191">
        <v>505</v>
      </c>
    </row>
    <row r="164" spans="1:13" ht="12.75">
      <c r="A164" s="236">
        <v>400</v>
      </c>
      <c r="B164" s="190">
        <v>550</v>
      </c>
      <c r="C164" s="109">
        <v>540</v>
      </c>
      <c r="D164" s="109">
        <v>480</v>
      </c>
      <c r="E164" s="109">
        <v>520</v>
      </c>
      <c r="F164" s="109">
        <v>500</v>
      </c>
      <c r="G164" s="109">
        <v>445</v>
      </c>
      <c r="H164" s="190">
        <v>705</v>
      </c>
      <c r="I164" s="109">
        <v>690</v>
      </c>
      <c r="J164" s="109">
        <v>615</v>
      </c>
      <c r="K164" s="109">
        <v>665</v>
      </c>
      <c r="L164" s="109">
        <v>645</v>
      </c>
      <c r="M164" s="191">
        <v>570</v>
      </c>
    </row>
    <row r="165" spans="1:13" ht="12.75">
      <c r="A165" s="239">
        <v>500</v>
      </c>
      <c r="B165" s="190">
        <v>615</v>
      </c>
      <c r="C165" s="109">
        <v>605</v>
      </c>
      <c r="D165" s="109">
        <v>525</v>
      </c>
      <c r="E165" s="109" t="s">
        <v>292</v>
      </c>
      <c r="F165" s="109" t="s">
        <v>292</v>
      </c>
      <c r="G165" s="109" t="s">
        <v>292</v>
      </c>
      <c r="H165" s="190">
        <v>790</v>
      </c>
      <c r="I165" s="109">
        <v>775</v>
      </c>
      <c r="J165" s="109">
        <v>685</v>
      </c>
      <c r="K165" s="109" t="s">
        <v>292</v>
      </c>
      <c r="L165" s="109" t="s">
        <v>292</v>
      </c>
      <c r="M165" s="191" t="s">
        <v>292</v>
      </c>
    </row>
    <row r="166" spans="1:13" ht="13.5" thickBot="1">
      <c r="A166" s="238">
        <v>630</v>
      </c>
      <c r="B166" s="192">
        <v>690</v>
      </c>
      <c r="C166" s="203">
        <v>680</v>
      </c>
      <c r="D166" s="203">
        <v>600</v>
      </c>
      <c r="E166" s="203" t="s">
        <v>292</v>
      </c>
      <c r="F166" s="203" t="s">
        <v>292</v>
      </c>
      <c r="G166" s="203" t="s">
        <v>292</v>
      </c>
      <c r="H166" s="192">
        <v>885</v>
      </c>
      <c r="I166" s="203">
        <v>870</v>
      </c>
      <c r="J166" s="203">
        <v>770</v>
      </c>
      <c r="K166" s="203" t="s">
        <v>292</v>
      </c>
      <c r="L166" s="203" t="s">
        <v>292</v>
      </c>
      <c r="M166" s="204" t="s">
        <v>292</v>
      </c>
    </row>
    <row r="167" ht="13.5" thickTop="1"/>
    <row r="168" ht="13.5" thickBot="1"/>
    <row r="169" spans="2:13" ht="13.5" thickTop="1">
      <c r="B169" s="205" t="s">
        <v>238</v>
      </c>
      <c r="C169" s="206"/>
      <c r="D169" s="206"/>
      <c r="E169" s="206"/>
      <c r="F169" s="206"/>
      <c r="G169" s="206"/>
      <c r="H169" s="208"/>
      <c r="I169" s="208"/>
      <c r="J169" s="208"/>
      <c r="K169" s="208"/>
      <c r="L169" s="208"/>
      <c r="M169" s="209"/>
    </row>
    <row r="170" spans="2:13" ht="13.5" thickBot="1">
      <c r="B170" s="198" t="s">
        <v>122</v>
      </c>
      <c r="C170" s="210"/>
      <c r="D170" s="196"/>
      <c r="E170" s="210" t="s">
        <v>123</v>
      </c>
      <c r="F170" s="210"/>
      <c r="G170" s="196"/>
      <c r="H170" s="198" t="s">
        <v>239</v>
      </c>
      <c r="I170" s="210"/>
      <c r="J170" s="196"/>
      <c r="K170" s="210" t="s">
        <v>240</v>
      </c>
      <c r="L170" s="210"/>
      <c r="M170" s="199"/>
    </row>
    <row r="171" spans="1:13" ht="13.5" thickTop="1">
      <c r="A171" s="235" t="s">
        <v>284</v>
      </c>
      <c r="B171" s="200" t="s">
        <v>124</v>
      </c>
      <c r="C171" s="59" t="s">
        <v>125</v>
      </c>
      <c r="D171" s="59" t="s">
        <v>126</v>
      </c>
      <c r="E171" s="200" t="s">
        <v>124</v>
      </c>
      <c r="F171" s="59" t="s">
        <v>125</v>
      </c>
      <c r="G171" s="59" t="s">
        <v>126</v>
      </c>
      <c r="H171" s="200" t="s">
        <v>124</v>
      </c>
      <c r="I171" s="59" t="s">
        <v>125</v>
      </c>
      <c r="J171" s="26" t="s">
        <v>126</v>
      </c>
      <c r="K171" s="59" t="s">
        <v>124</v>
      </c>
      <c r="L171" s="59" t="s">
        <v>125</v>
      </c>
      <c r="M171" s="201" t="s">
        <v>126</v>
      </c>
    </row>
    <row r="172" spans="1:13" ht="12.75">
      <c r="A172" s="236">
        <v>6</v>
      </c>
      <c r="B172" s="190" t="s">
        <v>292</v>
      </c>
      <c r="C172" s="109" t="s">
        <v>292</v>
      </c>
      <c r="D172" s="109" t="s">
        <v>292</v>
      </c>
      <c r="E172" s="109" t="s">
        <v>292</v>
      </c>
      <c r="F172" s="109" t="s">
        <v>292</v>
      </c>
      <c r="G172" s="109" t="s">
        <v>292</v>
      </c>
      <c r="H172" s="190">
        <v>46</v>
      </c>
      <c r="I172" s="109">
        <v>45</v>
      </c>
      <c r="J172" s="109">
        <v>38</v>
      </c>
      <c r="K172" s="109">
        <v>44</v>
      </c>
      <c r="L172" s="109">
        <v>43</v>
      </c>
      <c r="M172" s="191">
        <v>36</v>
      </c>
    </row>
    <row r="173" spans="1:13" ht="12.75">
      <c r="A173" s="236">
        <v>10</v>
      </c>
      <c r="B173" s="190" t="s">
        <v>292</v>
      </c>
      <c r="C173" s="109" t="s">
        <v>292</v>
      </c>
      <c r="D173" s="109" t="s">
        <v>292</v>
      </c>
      <c r="E173" s="109" t="s">
        <v>292</v>
      </c>
      <c r="F173" s="109" t="s">
        <v>292</v>
      </c>
      <c r="G173" s="109" t="s">
        <v>292</v>
      </c>
      <c r="H173" s="190">
        <v>64</v>
      </c>
      <c r="I173" s="109">
        <v>62</v>
      </c>
      <c r="J173" s="109">
        <v>53</v>
      </c>
      <c r="K173" s="109">
        <v>61</v>
      </c>
      <c r="L173" s="109">
        <v>60</v>
      </c>
      <c r="M173" s="191">
        <v>50</v>
      </c>
    </row>
    <row r="174" spans="1:13" ht="12.75">
      <c r="A174" s="236">
        <v>16</v>
      </c>
      <c r="B174" s="190">
        <v>67</v>
      </c>
      <c r="C174" s="109">
        <v>65</v>
      </c>
      <c r="D174" s="109">
        <v>55</v>
      </c>
      <c r="E174" s="109">
        <v>64</v>
      </c>
      <c r="F174" s="109">
        <v>63</v>
      </c>
      <c r="G174" s="109">
        <v>51</v>
      </c>
      <c r="H174" s="190">
        <v>86</v>
      </c>
      <c r="I174" s="109">
        <v>83</v>
      </c>
      <c r="J174" s="109">
        <v>71</v>
      </c>
      <c r="K174" s="109">
        <v>82</v>
      </c>
      <c r="L174" s="109">
        <v>80</v>
      </c>
      <c r="M174" s="191">
        <v>65</v>
      </c>
    </row>
    <row r="175" spans="1:13" ht="12.75">
      <c r="A175" s="236">
        <v>25</v>
      </c>
      <c r="B175" s="190">
        <v>93</v>
      </c>
      <c r="C175" s="109">
        <v>90</v>
      </c>
      <c r="D175" s="109">
        <v>75</v>
      </c>
      <c r="E175" s="109">
        <v>85</v>
      </c>
      <c r="F175" s="109">
        <v>82</v>
      </c>
      <c r="G175" s="109">
        <v>68</v>
      </c>
      <c r="H175" s="190">
        <v>120</v>
      </c>
      <c r="I175" s="109">
        <v>115</v>
      </c>
      <c r="J175" s="109">
        <v>96</v>
      </c>
      <c r="K175" s="109">
        <v>110</v>
      </c>
      <c r="L175" s="109">
        <v>105</v>
      </c>
      <c r="M175" s="191">
        <v>87</v>
      </c>
    </row>
    <row r="176" spans="1:13" ht="12.75">
      <c r="A176" s="236">
        <v>35</v>
      </c>
      <c r="B176" s="190">
        <v>115</v>
      </c>
      <c r="C176" s="109">
        <v>110</v>
      </c>
      <c r="D176" s="109">
        <v>90</v>
      </c>
      <c r="E176" s="109">
        <v>105</v>
      </c>
      <c r="F176" s="109">
        <v>100</v>
      </c>
      <c r="G176" s="109">
        <v>82</v>
      </c>
      <c r="H176" s="190">
        <v>145</v>
      </c>
      <c r="I176" s="109">
        <v>140</v>
      </c>
      <c r="J176" s="109">
        <v>115</v>
      </c>
      <c r="K176" s="109">
        <v>135</v>
      </c>
      <c r="L176" s="109">
        <v>130</v>
      </c>
      <c r="M176" s="191">
        <v>105</v>
      </c>
    </row>
    <row r="177" spans="1:13" ht="12.75">
      <c r="A177" s="236">
        <v>50</v>
      </c>
      <c r="B177" s="190">
        <v>140</v>
      </c>
      <c r="C177" s="109">
        <v>135</v>
      </c>
      <c r="D177" s="109">
        <v>115</v>
      </c>
      <c r="E177" s="109">
        <v>130</v>
      </c>
      <c r="F177" s="109">
        <v>125</v>
      </c>
      <c r="G177" s="109">
        <v>100</v>
      </c>
      <c r="H177" s="190">
        <v>180</v>
      </c>
      <c r="I177" s="109">
        <v>175</v>
      </c>
      <c r="J177" s="109">
        <v>145</v>
      </c>
      <c r="K177" s="109">
        <v>165</v>
      </c>
      <c r="L177" s="109">
        <v>160</v>
      </c>
      <c r="M177" s="191">
        <v>130</v>
      </c>
    </row>
    <row r="178" spans="1:13" ht="12.75">
      <c r="A178" s="236">
        <v>70</v>
      </c>
      <c r="B178" s="190">
        <v>180</v>
      </c>
      <c r="C178" s="109">
        <v>175</v>
      </c>
      <c r="D178" s="109">
        <v>145</v>
      </c>
      <c r="E178" s="109">
        <v>165</v>
      </c>
      <c r="F178" s="109">
        <v>155</v>
      </c>
      <c r="G178" s="109">
        <v>130</v>
      </c>
      <c r="H178" s="190">
        <v>230</v>
      </c>
      <c r="I178" s="109">
        <v>225</v>
      </c>
      <c r="J178" s="109">
        <v>185</v>
      </c>
      <c r="K178" s="109">
        <v>210</v>
      </c>
      <c r="L178" s="109">
        <v>220</v>
      </c>
      <c r="M178" s="191">
        <v>165</v>
      </c>
    </row>
    <row r="179" spans="1:13" ht="12.75">
      <c r="A179" s="236">
        <v>95</v>
      </c>
      <c r="B179" s="190">
        <v>220</v>
      </c>
      <c r="C179" s="109">
        <v>215</v>
      </c>
      <c r="D179" s="109">
        <v>180</v>
      </c>
      <c r="E179" s="109">
        <v>205</v>
      </c>
      <c r="F179" s="109">
        <v>195</v>
      </c>
      <c r="G179" s="109">
        <v>160</v>
      </c>
      <c r="H179" s="190">
        <v>285</v>
      </c>
      <c r="I179" s="109">
        <v>280</v>
      </c>
      <c r="J179" s="109">
        <v>235</v>
      </c>
      <c r="K179" s="109">
        <v>260</v>
      </c>
      <c r="L179" s="109">
        <v>250</v>
      </c>
      <c r="M179" s="191">
        <v>205</v>
      </c>
    </row>
    <row r="180" spans="1:13" ht="12.75">
      <c r="A180" s="236">
        <v>120</v>
      </c>
      <c r="B180" s="190">
        <v>260</v>
      </c>
      <c r="C180" s="109">
        <v>255</v>
      </c>
      <c r="D180" s="109">
        <v>215</v>
      </c>
      <c r="E180" s="109">
        <v>235</v>
      </c>
      <c r="F180" s="109">
        <v>225</v>
      </c>
      <c r="G180" s="109">
        <v>185</v>
      </c>
      <c r="H180" s="190">
        <v>335</v>
      </c>
      <c r="I180" s="109">
        <v>325</v>
      </c>
      <c r="J180" s="109">
        <v>275</v>
      </c>
      <c r="K180" s="109">
        <v>300</v>
      </c>
      <c r="L180" s="109">
        <v>290</v>
      </c>
      <c r="M180" s="191">
        <v>240</v>
      </c>
    </row>
    <row r="181" spans="1:13" ht="12.75">
      <c r="A181" s="236">
        <v>150</v>
      </c>
      <c r="B181" s="190">
        <v>300</v>
      </c>
      <c r="C181" s="109">
        <v>290</v>
      </c>
      <c r="D181" s="109">
        <v>245</v>
      </c>
      <c r="E181" s="109">
        <v>275</v>
      </c>
      <c r="F181" s="109">
        <v>260</v>
      </c>
      <c r="G181" s="109">
        <v>215</v>
      </c>
      <c r="H181" s="190">
        <v>385</v>
      </c>
      <c r="I181" s="109">
        <v>375</v>
      </c>
      <c r="J181" s="109">
        <v>315</v>
      </c>
      <c r="K181" s="109">
        <v>350</v>
      </c>
      <c r="L181" s="109">
        <v>335</v>
      </c>
      <c r="M181" s="191">
        <v>275</v>
      </c>
    </row>
    <row r="182" spans="1:13" ht="12.75">
      <c r="A182" s="236">
        <v>185</v>
      </c>
      <c r="B182" s="190">
        <v>350</v>
      </c>
      <c r="C182" s="109">
        <v>345</v>
      </c>
      <c r="D182" s="109">
        <v>285</v>
      </c>
      <c r="E182" s="109">
        <v>315</v>
      </c>
      <c r="F182" s="109">
        <v>300</v>
      </c>
      <c r="G182" s="109">
        <v>245</v>
      </c>
      <c r="H182" s="190">
        <v>450</v>
      </c>
      <c r="I182" s="109">
        <v>440</v>
      </c>
      <c r="J182" s="109">
        <v>365</v>
      </c>
      <c r="K182" s="109">
        <v>400</v>
      </c>
      <c r="L182" s="109">
        <v>385</v>
      </c>
      <c r="M182" s="191">
        <v>315</v>
      </c>
    </row>
    <row r="183" spans="1:13" ht="12.75">
      <c r="A183" s="236">
        <v>240</v>
      </c>
      <c r="B183" s="190">
        <v>420</v>
      </c>
      <c r="C183" s="109">
        <v>400</v>
      </c>
      <c r="D183" s="109">
        <v>340</v>
      </c>
      <c r="E183" s="109">
        <v>370</v>
      </c>
      <c r="F183" s="109">
        <v>360</v>
      </c>
      <c r="G183" s="109">
        <v>290</v>
      </c>
      <c r="H183" s="190">
        <v>535</v>
      </c>
      <c r="I183" s="109">
        <v>515</v>
      </c>
      <c r="J183" s="109">
        <v>435</v>
      </c>
      <c r="K183" s="109">
        <v>475</v>
      </c>
      <c r="L183" s="109">
        <v>460</v>
      </c>
      <c r="M183" s="191">
        <v>370</v>
      </c>
    </row>
    <row r="184" spans="1:13" ht="12.75">
      <c r="A184" s="236">
        <v>300</v>
      </c>
      <c r="B184" s="190">
        <v>480</v>
      </c>
      <c r="C184" s="109">
        <v>465</v>
      </c>
      <c r="D184" s="109">
        <v>390</v>
      </c>
      <c r="E184" s="109">
        <v>425</v>
      </c>
      <c r="F184" s="109">
        <v>405</v>
      </c>
      <c r="G184" s="109">
        <v>335</v>
      </c>
      <c r="H184" s="190">
        <v>615</v>
      </c>
      <c r="I184" s="109">
        <v>595</v>
      </c>
      <c r="J184" s="109">
        <v>500</v>
      </c>
      <c r="K184" s="109">
        <v>545</v>
      </c>
      <c r="L184" s="109">
        <v>520</v>
      </c>
      <c r="M184" s="191">
        <v>425</v>
      </c>
    </row>
    <row r="185" spans="1:13" ht="12.75">
      <c r="A185" s="236">
        <v>400</v>
      </c>
      <c r="B185" s="190">
        <v>560</v>
      </c>
      <c r="C185" s="109">
        <v>545</v>
      </c>
      <c r="D185" s="109">
        <v>455</v>
      </c>
      <c r="E185" s="109">
        <v>505</v>
      </c>
      <c r="F185" s="109">
        <v>475</v>
      </c>
      <c r="G185" s="109">
        <v>385</v>
      </c>
      <c r="H185" s="190">
        <v>720</v>
      </c>
      <c r="I185" s="109">
        <v>700</v>
      </c>
      <c r="J185" s="109">
        <v>585</v>
      </c>
      <c r="K185" s="109">
        <v>645</v>
      </c>
      <c r="L185" s="109">
        <v>610</v>
      </c>
      <c r="M185" s="191">
        <v>495</v>
      </c>
    </row>
    <row r="186" spans="1:13" ht="12.75">
      <c r="A186" s="239">
        <v>500</v>
      </c>
      <c r="B186" s="190">
        <v>645</v>
      </c>
      <c r="C186" s="109">
        <v>625</v>
      </c>
      <c r="D186" s="109">
        <v>520</v>
      </c>
      <c r="E186" s="109" t="s">
        <v>292</v>
      </c>
      <c r="F186" s="109" t="s">
        <v>292</v>
      </c>
      <c r="G186" s="109" t="s">
        <v>292</v>
      </c>
      <c r="H186" s="190">
        <v>825</v>
      </c>
      <c r="I186" s="109">
        <v>800</v>
      </c>
      <c r="J186" s="109">
        <v>665</v>
      </c>
      <c r="K186" s="109" t="s">
        <v>292</v>
      </c>
      <c r="L186" s="109" t="s">
        <v>292</v>
      </c>
      <c r="M186" s="191" t="s">
        <v>292</v>
      </c>
    </row>
    <row r="187" spans="1:13" ht="13.5" thickBot="1">
      <c r="A187" s="238">
        <v>630</v>
      </c>
      <c r="B187" s="192">
        <v>740</v>
      </c>
      <c r="C187" s="203">
        <v>715</v>
      </c>
      <c r="D187" s="203">
        <v>600</v>
      </c>
      <c r="E187" s="203" t="s">
        <v>292</v>
      </c>
      <c r="F187" s="203" t="s">
        <v>292</v>
      </c>
      <c r="G187" s="203" t="s">
        <v>292</v>
      </c>
      <c r="H187" s="192">
        <v>950</v>
      </c>
      <c r="I187" s="203">
        <v>915</v>
      </c>
      <c r="J187" s="203">
        <v>765</v>
      </c>
      <c r="K187" s="203" t="s">
        <v>292</v>
      </c>
      <c r="L187" s="203" t="s">
        <v>292</v>
      </c>
      <c r="M187" s="204" t="s">
        <v>292</v>
      </c>
    </row>
    <row r="188" ht="13.5" thickTop="1"/>
    <row r="189" ht="13.5" thickBot="1"/>
    <row r="190" spans="1:12" ht="13.5" thickTop="1">
      <c r="A190" s="205" t="s">
        <v>285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7"/>
    </row>
    <row r="191" spans="1:12" ht="12.75">
      <c r="A191" s="219" t="s">
        <v>286</v>
      </c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20"/>
    </row>
    <row r="192" spans="1:12" ht="13.5" customHeight="1">
      <c r="A192" s="221" t="s">
        <v>241</v>
      </c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89"/>
    </row>
    <row r="193" spans="1:12" ht="12.75">
      <c r="A193" s="222" t="s">
        <v>242</v>
      </c>
      <c r="B193" s="109"/>
      <c r="C193" s="109"/>
      <c r="D193" s="109"/>
      <c r="E193" s="109"/>
      <c r="F193" s="109" t="s">
        <v>245</v>
      </c>
      <c r="G193" s="109" t="s">
        <v>246</v>
      </c>
      <c r="H193" s="109"/>
      <c r="I193" s="109"/>
      <c r="J193" s="109"/>
      <c r="K193" s="109"/>
      <c r="L193" s="191"/>
    </row>
    <row r="194" spans="1:12" ht="12.75">
      <c r="A194" s="222" t="s">
        <v>243</v>
      </c>
      <c r="B194" s="109" t="s">
        <v>245</v>
      </c>
      <c r="C194" s="109" t="s">
        <v>246</v>
      </c>
      <c r="D194" s="109"/>
      <c r="E194" s="109"/>
      <c r="F194" s="109" t="s">
        <v>124</v>
      </c>
      <c r="G194" s="109" t="s">
        <v>124</v>
      </c>
      <c r="H194" s="109"/>
      <c r="I194" s="109"/>
      <c r="J194" s="109"/>
      <c r="K194" s="109"/>
      <c r="L194" s="191"/>
    </row>
    <row r="195" spans="1:12" ht="12.75">
      <c r="A195" s="222" t="s">
        <v>244</v>
      </c>
      <c r="B195" s="109" t="s">
        <v>126</v>
      </c>
      <c r="C195" s="109" t="s">
        <v>126</v>
      </c>
      <c r="D195" s="109"/>
      <c r="E195" s="109"/>
      <c r="F195" s="109" t="s">
        <v>247</v>
      </c>
      <c r="G195" s="109" t="s">
        <v>247</v>
      </c>
      <c r="H195" s="109"/>
      <c r="I195" s="109"/>
      <c r="J195" s="109"/>
      <c r="K195" s="109"/>
      <c r="L195" s="191"/>
    </row>
    <row r="196" spans="1:12" ht="12.75">
      <c r="A196" s="222" t="s">
        <v>252</v>
      </c>
      <c r="B196" s="109"/>
      <c r="C196" s="109"/>
      <c r="D196" s="109"/>
      <c r="E196" s="109"/>
      <c r="F196" s="109" t="s">
        <v>125</v>
      </c>
      <c r="G196" s="109" t="s">
        <v>125</v>
      </c>
      <c r="H196" s="109"/>
      <c r="I196" s="109"/>
      <c r="J196" s="109"/>
      <c r="K196" s="109"/>
      <c r="L196" s="191"/>
    </row>
    <row r="197" spans="1:12" ht="12.75">
      <c r="A197" s="222" t="s">
        <v>253</v>
      </c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91"/>
    </row>
    <row r="198" spans="1:12" ht="12.75">
      <c r="A198" s="221" t="s">
        <v>248</v>
      </c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89"/>
    </row>
    <row r="199" spans="1:12" ht="12.75">
      <c r="A199" s="222" t="s">
        <v>249</v>
      </c>
      <c r="B199" s="109"/>
      <c r="C199" s="109"/>
      <c r="D199" s="109"/>
      <c r="E199" s="109" t="s">
        <v>245</v>
      </c>
      <c r="F199" s="109" t="s">
        <v>246</v>
      </c>
      <c r="G199" s="109"/>
      <c r="H199" s="109"/>
      <c r="I199" s="109"/>
      <c r="J199" s="109"/>
      <c r="K199" s="109"/>
      <c r="L199" s="191"/>
    </row>
    <row r="200" spans="1:12" ht="12.75">
      <c r="A200" s="222" t="s">
        <v>250</v>
      </c>
      <c r="B200" s="109" t="s">
        <v>245</v>
      </c>
      <c r="C200" s="109" t="s">
        <v>246</v>
      </c>
      <c r="D200" s="109"/>
      <c r="E200" s="109" t="s">
        <v>124</v>
      </c>
      <c r="F200" s="109" t="s">
        <v>124</v>
      </c>
      <c r="G200" s="109"/>
      <c r="H200" s="109"/>
      <c r="I200" s="109"/>
      <c r="J200" s="109"/>
      <c r="K200" s="109"/>
      <c r="L200" s="191"/>
    </row>
    <row r="201" spans="1:12" ht="12.75">
      <c r="A201" s="222" t="s">
        <v>254</v>
      </c>
      <c r="B201" s="109" t="s">
        <v>126</v>
      </c>
      <c r="C201" s="109" t="s">
        <v>126</v>
      </c>
      <c r="D201" s="109"/>
      <c r="E201" s="109" t="s">
        <v>247</v>
      </c>
      <c r="F201" s="109" t="s">
        <v>247</v>
      </c>
      <c r="G201" s="109"/>
      <c r="H201" s="109"/>
      <c r="I201" s="109"/>
      <c r="J201" s="109"/>
      <c r="K201" s="109"/>
      <c r="L201" s="191"/>
    </row>
    <row r="202" spans="1:12" ht="12.75">
      <c r="A202" s="222" t="s">
        <v>255</v>
      </c>
      <c r="B202" s="109"/>
      <c r="C202" s="109"/>
      <c r="D202" s="109"/>
      <c r="E202" s="109" t="s">
        <v>125</v>
      </c>
      <c r="F202" s="109" t="s">
        <v>125</v>
      </c>
      <c r="G202" s="109"/>
      <c r="H202" s="109"/>
      <c r="I202" s="109"/>
      <c r="J202" s="109"/>
      <c r="K202" s="109"/>
      <c r="L202" s="191"/>
    </row>
    <row r="203" spans="1:12" ht="12.75">
      <c r="A203" s="222" t="s">
        <v>253</v>
      </c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91"/>
    </row>
    <row r="204" spans="1:12" ht="12.75">
      <c r="A204" s="221" t="s">
        <v>241</v>
      </c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89"/>
    </row>
    <row r="205" spans="1:12" ht="12.75">
      <c r="A205" s="222" t="s">
        <v>256</v>
      </c>
      <c r="B205" s="109"/>
      <c r="C205" s="109"/>
      <c r="D205" s="109"/>
      <c r="E205" s="109"/>
      <c r="F205" s="109"/>
      <c r="G205" s="109"/>
      <c r="H205" s="109"/>
      <c r="I205" s="109" t="s">
        <v>245</v>
      </c>
      <c r="J205" s="109" t="s">
        <v>246</v>
      </c>
      <c r="K205" s="109"/>
      <c r="L205" s="191"/>
    </row>
    <row r="206" spans="1:12" ht="12.75">
      <c r="A206" s="222" t="s">
        <v>263</v>
      </c>
      <c r="B206" s="109"/>
      <c r="C206" s="109"/>
      <c r="D206" s="109"/>
      <c r="E206" s="109" t="s">
        <v>245</v>
      </c>
      <c r="F206" s="109" t="s">
        <v>246</v>
      </c>
      <c r="G206" s="109"/>
      <c r="H206" s="109"/>
      <c r="I206" s="109" t="s">
        <v>124</v>
      </c>
      <c r="J206" s="109" t="s">
        <v>124</v>
      </c>
      <c r="K206" s="109"/>
      <c r="L206" s="191"/>
    </row>
    <row r="207" spans="1:12" ht="12.75">
      <c r="A207" s="222" t="s">
        <v>257</v>
      </c>
      <c r="B207" s="109"/>
      <c r="C207" s="109"/>
      <c r="D207" s="109"/>
      <c r="E207" s="109" t="s">
        <v>126</v>
      </c>
      <c r="F207" s="109" t="s">
        <v>126</v>
      </c>
      <c r="G207" s="109"/>
      <c r="H207" s="109"/>
      <c r="I207" s="109" t="s">
        <v>247</v>
      </c>
      <c r="J207" s="109" t="s">
        <v>247</v>
      </c>
      <c r="K207" s="109"/>
      <c r="L207" s="191"/>
    </row>
    <row r="208" spans="1:12" ht="12.75">
      <c r="A208" s="222" t="s">
        <v>258</v>
      </c>
      <c r="B208" s="109"/>
      <c r="C208" s="109"/>
      <c r="D208" s="109"/>
      <c r="E208" s="109"/>
      <c r="F208" s="109"/>
      <c r="G208" s="109"/>
      <c r="H208" s="109"/>
      <c r="I208" s="109" t="s">
        <v>125</v>
      </c>
      <c r="J208" s="109" t="s">
        <v>125</v>
      </c>
      <c r="K208" s="109"/>
      <c r="L208" s="191"/>
    </row>
    <row r="209" spans="1:12" ht="12.75">
      <c r="A209" s="222" t="s">
        <v>251</v>
      </c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91"/>
    </row>
    <row r="210" spans="1:12" ht="12.75">
      <c r="A210" s="223" t="s">
        <v>259</v>
      </c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224"/>
    </row>
    <row r="211" spans="1:12" ht="12.75">
      <c r="A211" s="221" t="s">
        <v>248</v>
      </c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89"/>
    </row>
    <row r="212" spans="1:12" ht="12.75">
      <c r="A212" s="222" t="s">
        <v>260</v>
      </c>
      <c r="B212" s="109"/>
      <c r="C212" s="109"/>
      <c r="D212" s="109"/>
      <c r="E212" s="109"/>
      <c r="F212" s="109"/>
      <c r="G212" s="109" t="s">
        <v>245</v>
      </c>
      <c r="H212" s="109"/>
      <c r="I212" s="109" t="s">
        <v>246</v>
      </c>
      <c r="J212" s="109"/>
      <c r="K212" s="109"/>
      <c r="L212" s="191"/>
    </row>
    <row r="213" spans="1:12" ht="12.75">
      <c r="A213" s="222" t="s">
        <v>264</v>
      </c>
      <c r="B213" s="109"/>
      <c r="C213" s="109"/>
      <c r="D213" s="109" t="s">
        <v>245</v>
      </c>
      <c r="E213" s="109" t="s">
        <v>246</v>
      </c>
      <c r="F213" s="109"/>
      <c r="G213" s="109" t="s">
        <v>124</v>
      </c>
      <c r="H213" s="109"/>
      <c r="I213" s="109" t="s">
        <v>124</v>
      </c>
      <c r="J213" s="109"/>
      <c r="K213" s="109"/>
      <c r="L213" s="191"/>
    </row>
    <row r="214" spans="1:12" ht="12.75">
      <c r="A214" s="222" t="s">
        <v>266</v>
      </c>
      <c r="B214" s="109"/>
      <c r="C214" s="109"/>
      <c r="D214" s="109" t="s">
        <v>126</v>
      </c>
      <c r="E214" s="109" t="s">
        <v>126</v>
      </c>
      <c r="F214" s="109"/>
      <c r="G214" s="109" t="s">
        <v>247</v>
      </c>
      <c r="H214" s="109"/>
      <c r="I214" s="109" t="s">
        <v>247</v>
      </c>
      <c r="J214" s="109"/>
      <c r="K214" s="109"/>
      <c r="L214" s="191"/>
    </row>
    <row r="215" spans="1:12" ht="12.75">
      <c r="A215" s="222" t="s">
        <v>265</v>
      </c>
      <c r="B215" s="109"/>
      <c r="C215" s="109"/>
      <c r="D215" s="109"/>
      <c r="E215" s="109"/>
      <c r="F215" s="109"/>
      <c r="G215" s="109" t="s">
        <v>125</v>
      </c>
      <c r="H215" s="109"/>
      <c r="I215" s="109" t="s">
        <v>125</v>
      </c>
      <c r="J215" s="109"/>
      <c r="K215" s="109"/>
      <c r="L215" s="191"/>
    </row>
    <row r="216" spans="1:12" ht="12.75">
      <c r="A216" s="222" t="s">
        <v>251</v>
      </c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91"/>
    </row>
    <row r="217" spans="1:12" ht="12.75">
      <c r="A217" s="223" t="s">
        <v>259</v>
      </c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224"/>
    </row>
    <row r="218" spans="1:12" ht="12.75">
      <c r="A218" s="221" t="s">
        <v>248</v>
      </c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89"/>
    </row>
    <row r="219" spans="1:12" ht="12.75">
      <c r="A219" s="222" t="s">
        <v>260</v>
      </c>
      <c r="B219" s="109"/>
      <c r="C219" s="109"/>
      <c r="D219" s="109"/>
      <c r="E219" s="109"/>
      <c r="F219" s="109"/>
      <c r="G219" s="109"/>
      <c r="H219" s="109"/>
      <c r="I219" s="109" t="s">
        <v>245</v>
      </c>
      <c r="J219" s="109" t="s">
        <v>246</v>
      </c>
      <c r="K219" s="109"/>
      <c r="L219" s="191"/>
    </row>
    <row r="220" spans="1:12" ht="12.75">
      <c r="A220" s="222" t="s">
        <v>261</v>
      </c>
      <c r="B220" s="109"/>
      <c r="C220" s="109"/>
      <c r="D220" s="109"/>
      <c r="E220" s="109"/>
      <c r="F220" s="109" t="s">
        <v>245</v>
      </c>
      <c r="G220" s="109" t="s">
        <v>246</v>
      </c>
      <c r="H220" s="109"/>
      <c r="I220" s="109" t="s">
        <v>124</v>
      </c>
      <c r="J220" s="109" t="s">
        <v>124</v>
      </c>
      <c r="K220" s="109"/>
      <c r="L220" s="191"/>
    </row>
    <row r="221" spans="1:12" ht="12.75">
      <c r="A221" s="222" t="s">
        <v>262</v>
      </c>
      <c r="B221" s="109"/>
      <c r="C221" s="109"/>
      <c r="D221" s="109"/>
      <c r="E221" s="109"/>
      <c r="F221" s="109" t="s">
        <v>126</v>
      </c>
      <c r="G221" s="109" t="s">
        <v>126</v>
      </c>
      <c r="H221" s="109"/>
      <c r="I221" s="109" t="s">
        <v>247</v>
      </c>
      <c r="J221" s="109" t="s">
        <v>247</v>
      </c>
      <c r="K221" s="109"/>
      <c r="L221" s="191"/>
    </row>
    <row r="222" spans="1:12" ht="12.75">
      <c r="A222" s="222" t="s">
        <v>267</v>
      </c>
      <c r="B222" s="109"/>
      <c r="C222" s="109"/>
      <c r="D222" s="109"/>
      <c r="E222" s="109"/>
      <c r="F222" s="109"/>
      <c r="G222" s="109"/>
      <c r="H222" s="109"/>
      <c r="I222" s="109" t="s">
        <v>125</v>
      </c>
      <c r="J222" s="109" t="s">
        <v>125</v>
      </c>
      <c r="K222" s="109"/>
      <c r="L222" s="191"/>
    </row>
    <row r="223" spans="1:12" ht="12.75">
      <c r="A223" s="221" t="s">
        <v>248</v>
      </c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89"/>
    </row>
    <row r="224" spans="1:12" ht="12.75">
      <c r="A224" s="222" t="s">
        <v>260</v>
      </c>
      <c r="B224" s="109"/>
      <c r="C224" s="109"/>
      <c r="D224" s="109"/>
      <c r="E224" s="109"/>
      <c r="F224" s="109"/>
      <c r="G224" s="109"/>
      <c r="H224" s="109"/>
      <c r="I224" s="109"/>
      <c r="J224" s="109" t="s">
        <v>245</v>
      </c>
      <c r="K224" s="109" t="s">
        <v>246</v>
      </c>
      <c r="L224" s="191"/>
    </row>
    <row r="225" spans="1:12" ht="12.75">
      <c r="A225" s="222" t="s">
        <v>268</v>
      </c>
      <c r="B225" s="109"/>
      <c r="C225" s="109"/>
      <c r="D225" s="109"/>
      <c r="E225" s="109"/>
      <c r="F225" s="109"/>
      <c r="G225" s="109" t="s">
        <v>245</v>
      </c>
      <c r="H225" s="109"/>
      <c r="I225" s="109" t="s">
        <v>246</v>
      </c>
      <c r="J225" s="109" t="s">
        <v>124</v>
      </c>
      <c r="K225" s="109" t="s">
        <v>124</v>
      </c>
      <c r="L225" s="191"/>
    </row>
    <row r="226" spans="1:12" ht="12.75">
      <c r="A226" s="222" t="s">
        <v>269</v>
      </c>
      <c r="B226" s="109"/>
      <c r="C226" s="109"/>
      <c r="D226" s="109"/>
      <c r="E226" s="109"/>
      <c r="F226" s="109"/>
      <c r="G226" s="109" t="s">
        <v>126</v>
      </c>
      <c r="H226" s="109"/>
      <c r="I226" s="109" t="s">
        <v>126</v>
      </c>
      <c r="J226" s="109" t="s">
        <v>247</v>
      </c>
      <c r="K226" s="109" t="s">
        <v>247</v>
      </c>
      <c r="L226" s="191"/>
    </row>
    <row r="227" spans="1:12" ht="12.75">
      <c r="A227" s="222" t="s">
        <v>270</v>
      </c>
      <c r="B227" s="109"/>
      <c r="C227" s="109"/>
      <c r="D227" s="109"/>
      <c r="E227" s="109"/>
      <c r="F227" s="109"/>
      <c r="G227" s="109"/>
      <c r="H227" s="109"/>
      <c r="I227" s="109"/>
      <c r="J227" s="109" t="s">
        <v>125</v>
      </c>
      <c r="K227" s="109" t="s">
        <v>125</v>
      </c>
      <c r="L227" s="191"/>
    </row>
    <row r="228" spans="1:12" ht="12.75">
      <c r="A228" s="222" t="s">
        <v>271</v>
      </c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91"/>
    </row>
    <row r="229" spans="1:12" ht="12.75">
      <c r="A229" s="223" t="s">
        <v>272</v>
      </c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224"/>
    </row>
    <row r="230" spans="1:12" ht="12.75">
      <c r="A230" s="221" t="s">
        <v>248</v>
      </c>
      <c r="B230" s="195"/>
      <c r="C230" s="195"/>
      <c r="D230" s="195"/>
      <c r="E230" s="195"/>
      <c r="F230" s="195"/>
      <c r="G230" s="195"/>
      <c r="H230" s="195"/>
      <c r="I230" s="195"/>
      <c r="J230" s="195"/>
      <c r="K230" s="195"/>
      <c r="L230" s="189"/>
    </row>
    <row r="231" spans="1:12" ht="12.75">
      <c r="A231" s="222" t="s">
        <v>274</v>
      </c>
      <c r="B231" s="109"/>
      <c r="C231" s="109"/>
      <c r="D231" s="109"/>
      <c r="E231" s="109"/>
      <c r="F231" s="109"/>
      <c r="G231" s="109"/>
      <c r="H231" s="109"/>
      <c r="I231" s="109"/>
      <c r="J231" s="109"/>
      <c r="K231" s="109" t="s">
        <v>245</v>
      </c>
      <c r="L231" s="191"/>
    </row>
    <row r="232" spans="1:12" ht="12.75">
      <c r="A232" s="222" t="s">
        <v>275</v>
      </c>
      <c r="B232" s="109"/>
      <c r="C232" s="109"/>
      <c r="D232" s="109"/>
      <c r="E232" s="109"/>
      <c r="F232" s="109"/>
      <c r="G232" s="109"/>
      <c r="H232" s="109" t="s">
        <v>245</v>
      </c>
      <c r="I232" s="109"/>
      <c r="J232" s="109"/>
      <c r="K232" s="109" t="s">
        <v>124</v>
      </c>
      <c r="L232" s="191"/>
    </row>
    <row r="233" spans="1:12" ht="12.75">
      <c r="A233" s="222" t="s">
        <v>276</v>
      </c>
      <c r="B233" s="109"/>
      <c r="C233" s="109"/>
      <c r="D233" s="109"/>
      <c r="E233" s="109"/>
      <c r="F233" s="109"/>
      <c r="G233" s="109"/>
      <c r="H233" s="109" t="s">
        <v>126</v>
      </c>
      <c r="I233" s="109"/>
      <c r="J233" s="109"/>
      <c r="K233" s="109" t="s">
        <v>247</v>
      </c>
      <c r="L233" s="191"/>
    </row>
    <row r="234" spans="1:12" ht="12.75">
      <c r="A234" s="222" t="s">
        <v>277</v>
      </c>
      <c r="B234" s="109"/>
      <c r="C234" s="109"/>
      <c r="D234" s="109"/>
      <c r="E234" s="109"/>
      <c r="F234" s="109"/>
      <c r="G234" s="109"/>
      <c r="H234" s="109"/>
      <c r="I234" s="109"/>
      <c r="J234" s="109"/>
      <c r="K234" s="109" t="s">
        <v>280</v>
      </c>
      <c r="L234" s="191"/>
    </row>
    <row r="235" spans="1:12" ht="12.75">
      <c r="A235" s="222" t="s">
        <v>278</v>
      </c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91"/>
    </row>
    <row r="236" spans="1:12" ht="12.75">
      <c r="A236" s="223" t="s">
        <v>279</v>
      </c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224"/>
    </row>
    <row r="237" spans="1:12" ht="12.75">
      <c r="A237" s="221" t="s">
        <v>248</v>
      </c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  <c r="L237" s="191" t="s">
        <v>245</v>
      </c>
    </row>
    <row r="238" spans="1:12" ht="12.75">
      <c r="A238" s="222" t="s">
        <v>273</v>
      </c>
      <c r="B238" s="109"/>
      <c r="C238" s="109"/>
      <c r="D238" s="109"/>
      <c r="E238" s="109"/>
      <c r="F238" s="109"/>
      <c r="G238" s="109"/>
      <c r="H238" s="109"/>
      <c r="I238" s="109"/>
      <c r="J238" s="109"/>
      <c r="K238" s="109" t="s">
        <v>245</v>
      </c>
      <c r="L238" s="191" t="s">
        <v>124</v>
      </c>
    </row>
    <row r="239" spans="1:12" ht="12.75">
      <c r="A239" s="222" t="s">
        <v>281</v>
      </c>
      <c r="B239" s="109"/>
      <c r="C239" s="109"/>
      <c r="D239" s="109"/>
      <c r="E239" s="109"/>
      <c r="F239" s="109"/>
      <c r="G239" s="109"/>
      <c r="H239" s="109"/>
      <c r="I239" s="109"/>
      <c r="J239" s="109"/>
      <c r="K239" s="109" t="s">
        <v>283</v>
      </c>
      <c r="L239" s="191" t="s">
        <v>247</v>
      </c>
    </row>
    <row r="240" spans="1:12" ht="13.5" thickBot="1">
      <c r="A240" s="222" t="s">
        <v>282</v>
      </c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91" t="s">
        <v>125</v>
      </c>
    </row>
    <row r="241" spans="1:12" ht="15" thickBot="1" thickTop="1">
      <c r="A241" s="240" t="s">
        <v>284</v>
      </c>
      <c r="B241" s="218">
        <v>1</v>
      </c>
      <c r="C241" s="218">
        <v>2</v>
      </c>
      <c r="D241" s="218">
        <v>3</v>
      </c>
      <c r="E241" s="218">
        <v>4</v>
      </c>
      <c r="F241" s="218">
        <v>5</v>
      </c>
      <c r="G241" s="218">
        <v>6</v>
      </c>
      <c r="H241" s="218">
        <v>7</v>
      </c>
      <c r="I241" s="218">
        <v>8</v>
      </c>
      <c r="J241" s="218">
        <v>9</v>
      </c>
      <c r="K241" s="218">
        <v>10</v>
      </c>
      <c r="L241" s="225">
        <v>11</v>
      </c>
    </row>
    <row r="242" spans="1:12" ht="13.5" thickTop="1">
      <c r="A242" s="226">
        <v>1.5</v>
      </c>
      <c r="B242" s="80">
        <v>11</v>
      </c>
      <c r="C242" s="80">
        <v>11.5</v>
      </c>
      <c r="D242" s="80">
        <v>13</v>
      </c>
      <c r="E242" s="80">
        <v>13.5</v>
      </c>
      <c r="F242" s="80">
        <v>15</v>
      </c>
      <c r="G242" s="80">
        <v>16</v>
      </c>
      <c r="H242" s="80" t="s">
        <v>292</v>
      </c>
      <c r="I242" s="80">
        <v>18</v>
      </c>
      <c r="J242" s="80">
        <v>21</v>
      </c>
      <c r="K242" s="80">
        <v>24</v>
      </c>
      <c r="L242" s="227" t="s">
        <v>292</v>
      </c>
    </row>
    <row r="243" spans="1:12" ht="12.75">
      <c r="A243" s="228">
        <v>2.5</v>
      </c>
      <c r="B243" s="217">
        <v>15</v>
      </c>
      <c r="C243" s="217">
        <v>16</v>
      </c>
      <c r="D243" s="217">
        <v>17.5</v>
      </c>
      <c r="E243" s="217">
        <v>18.5</v>
      </c>
      <c r="F243" s="217">
        <v>21</v>
      </c>
      <c r="G243" s="217">
        <v>22</v>
      </c>
      <c r="H243" s="217" t="s">
        <v>292</v>
      </c>
      <c r="I243" s="217">
        <v>25</v>
      </c>
      <c r="J243" s="217">
        <v>29</v>
      </c>
      <c r="K243" s="217">
        <v>33</v>
      </c>
      <c r="L243" s="229" t="s">
        <v>292</v>
      </c>
    </row>
    <row r="244" spans="1:12" ht="12.75">
      <c r="A244" s="230">
        <v>4</v>
      </c>
      <c r="B244" s="215">
        <v>29</v>
      </c>
      <c r="C244" s="215">
        <v>21</v>
      </c>
      <c r="D244" s="215">
        <v>23</v>
      </c>
      <c r="E244" s="215">
        <v>24</v>
      </c>
      <c r="F244" s="215">
        <v>27</v>
      </c>
      <c r="G244" s="215">
        <v>30</v>
      </c>
      <c r="H244" s="215" t="s">
        <v>292</v>
      </c>
      <c r="I244" s="215">
        <v>34</v>
      </c>
      <c r="J244" s="215">
        <v>38</v>
      </c>
      <c r="K244" s="215">
        <v>45</v>
      </c>
      <c r="L244" s="231" t="s">
        <v>292</v>
      </c>
    </row>
    <row r="245" spans="1:12" ht="12.75">
      <c r="A245" s="228">
        <v>6</v>
      </c>
      <c r="B245" s="217">
        <v>25</v>
      </c>
      <c r="C245" s="217">
        <v>27</v>
      </c>
      <c r="D245" s="217">
        <v>30</v>
      </c>
      <c r="E245" s="217">
        <v>32</v>
      </c>
      <c r="F245" s="217">
        <v>36</v>
      </c>
      <c r="G245" s="217">
        <v>37</v>
      </c>
      <c r="H245" s="217" t="s">
        <v>292</v>
      </c>
      <c r="I245" s="217">
        <v>44</v>
      </c>
      <c r="J245" s="217">
        <v>49</v>
      </c>
      <c r="K245" s="217">
        <v>57</v>
      </c>
      <c r="L245" s="229" t="s">
        <v>292</v>
      </c>
    </row>
    <row r="246" spans="1:12" ht="12.75">
      <c r="A246" s="230">
        <v>10</v>
      </c>
      <c r="B246" s="215">
        <v>34</v>
      </c>
      <c r="C246" s="215">
        <v>37</v>
      </c>
      <c r="D246" s="215">
        <v>40</v>
      </c>
      <c r="E246" s="215">
        <v>44</v>
      </c>
      <c r="F246" s="215">
        <v>50</v>
      </c>
      <c r="G246" s="215">
        <v>52</v>
      </c>
      <c r="H246" s="215" t="s">
        <v>292</v>
      </c>
      <c r="I246" s="215">
        <v>60</v>
      </c>
      <c r="J246" s="215">
        <v>68</v>
      </c>
      <c r="K246" s="215">
        <v>76</v>
      </c>
      <c r="L246" s="231" t="s">
        <v>292</v>
      </c>
    </row>
    <row r="247" spans="1:12" ht="12.75">
      <c r="A247" s="228">
        <v>16</v>
      </c>
      <c r="B247" s="217">
        <v>45</v>
      </c>
      <c r="C247" s="217">
        <v>49</v>
      </c>
      <c r="D247" s="217">
        <v>54</v>
      </c>
      <c r="E247" s="217">
        <v>59</v>
      </c>
      <c r="F247" s="217">
        <v>66</v>
      </c>
      <c r="G247" s="217">
        <v>70</v>
      </c>
      <c r="H247" s="217" t="s">
        <v>292</v>
      </c>
      <c r="I247" s="217">
        <v>80</v>
      </c>
      <c r="J247" s="217">
        <v>91</v>
      </c>
      <c r="K247" s="217">
        <v>105</v>
      </c>
      <c r="L247" s="229" t="s">
        <v>292</v>
      </c>
    </row>
    <row r="248" spans="1:12" ht="12.75">
      <c r="A248" s="230">
        <v>25</v>
      </c>
      <c r="B248" s="215">
        <v>59</v>
      </c>
      <c r="C248" s="215">
        <v>64</v>
      </c>
      <c r="D248" s="215">
        <v>70</v>
      </c>
      <c r="E248" s="215">
        <v>77</v>
      </c>
      <c r="F248" s="215">
        <v>84</v>
      </c>
      <c r="G248" s="215">
        <v>88</v>
      </c>
      <c r="H248" s="215">
        <v>96</v>
      </c>
      <c r="I248" s="215">
        <v>106</v>
      </c>
      <c r="J248" s="215">
        <v>116</v>
      </c>
      <c r="K248" s="215">
        <v>123</v>
      </c>
      <c r="L248" s="231">
        <v>166</v>
      </c>
    </row>
    <row r="249" spans="1:12" ht="12.75">
      <c r="A249" s="228">
        <v>35</v>
      </c>
      <c r="B249" s="217"/>
      <c r="C249" s="217">
        <v>77</v>
      </c>
      <c r="D249" s="217">
        <v>86</v>
      </c>
      <c r="E249" s="217">
        <v>96</v>
      </c>
      <c r="F249" s="217">
        <v>104</v>
      </c>
      <c r="G249" s="217">
        <v>110</v>
      </c>
      <c r="H249" s="217">
        <v>119</v>
      </c>
      <c r="I249" s="217">
        <v>131</v>
      </c>
      <c r="J249" s="217">
        <v>144</v>
      </c>
      <c r="K249" s="217">
        <v>154</v>
      </c>
      <c r="L249" s="229">
        <v>206</v>
      </c>
    </row>
    <row r="250" spans="1:12" ht="12.75">
      <c r="A250" s="230">
        <v>50</v>
      </c>
      <c r="B250" s="215"/>
      <c r="C250" s="215">
        <v>94</v>
      </c>
      <c r="D250" s="215">
        <v>103</v>
      </c>
      <c r="E250" s="215">
        <v>117</v>
      </c>
      <c r="F250" s="215">
        <v>125</v>
      </c>
      <c r="G250" s="215">
        <v>133</v>
      </c>
      <c r="H250" s="215">
        <v>145</v>
      </c>
      <c r="I250" s="215">
        <v>159</v>
      </c>
      <c r="J250" s="215">
        <v>175</v>
      </c>
      <c r="K250" s="215">
        <v>188</v>
      </c>
      <c r="L250" s="231">
        <v>250</v>
      </c>
    </row>
    <row r="251" spans="1:12" ht="12.75">
      <c r="A251" s="228">
        <v>70</v>
      </c>
      <c r="B251" s="217"/>
      <c r="C251" s="217"/>
      <c r="D251" s="217"/>
      <c r="E251" s="217">
        <v>149</v>
      </c>
      <c r="F251" s="217">
        <v>160</v>
      </c>
      <c r="G251" s="217">
        <v>171</v>
      </c>
      <c r="H251" s="217">
        <v>188</v>
      </c>
      <c r="I251" s="217">
        <v>202</v>
      </c>
      <c r="J251" s="217">
        <v>224</v>
      </c>
      <c r="K251" s="217">
        <v>244</v>
      </c>
      <c r="L251" s="229">
        <v>321</v>
      </c>
    </row>
    <row r="252" spans="1:12" ht="12.75">
      <c r="A252" s="230">
        <v>95</v>
      </c>
      <c r="B252" s="215"/>
      <c r="C252" s="215"/>
      <c r="D252" s="215"/>
      <c r="E252" s="215">
        <v>180</v>
      </c>
      <c r="F252" s="215">
        <v>194</v>
      </c>
      <c r="G252" s="215">
        <v>207</v>
      </c>
      <c r="H252" s="215">
        <v>230</v>
      </c>
      <c r="I252" s="215">
        <v>245</v>
      </c>
      <c r="J252" s="215">
        <v>271</v>
      </c>
      <c r="K252" s="215">
        <v>296</v>
      </c>
      <c r="L252" s="231">
        <v>391</v>
      </c>
    </row>
    <row r="253" spans="1:12" ht="12.75">
      <c r="A253" s="228">
        <v>120</v>
      </c>
      <c r="B253" s="217"/>
      <c r="C253" s="217"/>
      <c r="D253" s="217"/>
      <c r="E253" s="217">
        <v>208</v>
      </c>
      <c r="F253" s="217">
        <v>225</v>
      </c>
      <c r="G253" s="217">
        <v>240</v>
      </c>
      <c r="H253" s="217">
        <v>267</v>
      </c>
      <c r="I253" s="217">
        <v>284</v>
      </c>
      <c r="J253" s="217">
        <v>314</v>
      </c>
      <c r="K253" s="217">
        <v>348</v>
      </c>
      <c r="L253" s="229">
        <v>455</v>
      </c>
    </row>
    <row r="254" spans="1:12" ht="12.75">
      <c r="A254" s="230">
        <v>150</v>
      </c>
      <c r="B254" s="215"/>
      <c r="C254" s="215"/>
      <c r="D254" s="215"/>
      <c r="E254" s="215">
        <v>236</v>
      </c>
      <c r="F254" s="215">
        <v>260</v>
      </c>
      <c r="G254" s="215">
        <v>278</v>
      </c>
      <c r="H254" s="215">
        <v>310</v>
      </c>
      <c r="I254" s="215">
        <v>338</v>
      </c>
      <c r="J254" s="215">
        <v>363</v>
      </c>
      <c r="K254" s="215">
        <v>404</v>
      </c>
      <c r="L254" s="231">
        <v>525</v>
      </c>
    </row>
    <row r="255" spans="1:12" ht="12.75">
      <c r="A255" s="228">
        <v>185</v>
      </c>
      <c r="B255" s="217"/>
      <c r="C255" s="217"/>
      <c r="D255" s="217"/>
      <c r="E255" s="217">
        <v>268</v>
      </c>
      <c r="F255" s="217">
        <v>297</v>
      </c>
      <c r="G255" s="217">
        <v>317</v>
      </c>
      <c r="H255" s="217">
        <v>354</v>
      </c>
      <c r="I255" s="217">
        <v>386</v>
      </c>
      <c r="J255" s="217">
        <v>415</v>
      </c>
      <c r="K255" s="217">
        <v>464</v>
      </c>
      <c r="L255" s="229">
        <v>601</v>
      </c>
    </row>
    <row r="256" spans="1:12" ht="12.75">
      <c r="A256" s="230">
        <v>240</v>
      </c>
      <c r="B256" s="215"/>
      <c r="C256" s="215"/>
      <c r="D256" s="215"/>
      <c r="E256" s="215">
        <v>315</v>
      </c>
      <c r="F256" s="215">
        <v>350</v>
      </c>
      <c r="G256" s="215">
        <v>374</v>
      </c>
      <c r="H256" s="215">
        <v>419</v>
      </c>
      <c r="I256" s="215">
        <v>455</v>
      </c>
      <c r="J256" s="215">
        <v>490</v>
      </c>
      <c r="K256" s="215">
        <v>552</v>
      </c>
      <c r="L256" s="231">
        <v>711</v>
      </c>
    </row>
    <row r="257" spans="1:12" ht="13.5" thickBot="1">
      <c r="A257" s="232">
        <v>300</v>
      </c>
      <c r="B257" s="233"/>
      <c r="C257" s="233"/>
      <c r="D257" s="233"/>
      <c r="E257" s="233">
        <v>360</v>
      </c>
      <c r="F257" s="233">
        <v>404</v>
      </c>
      <c r="G257" s="233">
        <v>423</v>
      </c>
      <c r="H257" s="233">
        <v>484</v>
      </c>
      <c r="I257" s="233">
        <v>524</v>
      </c>
      <c r="J257" s="233">
        <v>565</v>
      </c>
      <c r="K257" s="233">
        <v>640</v>
      </c>
      <c r="L257" s="234">
        <v>821</v>
      </c>
    </row>
    <row r="258" ht="13.5" thickTop="1"/>
  </sheetData>
  <sheetProtection/>
  <mergeCells count="11">
    <mergeCell ref="BB18:BD18"/>
    <mergeCell ref="AJ17:AT17"/>
    <mergeCell ref="AJ18:AK18"/>
    <mergeCell ref="AM18:AN18"/>
    <mergeCell ref="AP18:AQ18"/>
    <mergeCell ref="AS18:AT18"/>
    <mergeCell ref="BE18:BG18"/>
    <mergeCell ref="AV17:BD17"/>
    <mergeCell ref="AV18:AW18"/>
    <mergeCell ref="AX18:AY18"/>
    <mergeCell ref="AZ18:BA18"/>
  </mergeCells>
  <conditionalFormatting sqref="BY101:BY102">
    <cfRule type="cellIs" priority="1" dxfId="6" operator="lessThan" stopIfTrue="1">
      <formula>Hoja1!$BX$20</formula>
    </cfRule>
  </conditionalFormatting>
  <conditionalFormatting sqref="BY20:BY100">
    <cfRule type="cellIs" priority="2" dxfId="6" operator="lessThan" stopIfTrue="1">
      <formula>Hoja1!#REF!</formula>
    </cfRule>
  </conditionalFormatting>
  <conditionalFormatting sqref="G13:J13 AG20:AG100 BH20:BJ100 L8:O8 R8:V8 AI20:AI100 BU20:BU100 BQ20:BQ100 BS20:BS100">
    <cfRule type="cellIs" priority="3" dxfId="6" operator="greaterThan" stopIfTrue="1">
      <formula>Hoja1!$D$7</formula>
    </cfRule>
  </conditionalFormatting>
  <conditionalFormatting sqref="AE20:AE100">
    <cfRule type="cellIs" priority="4" dxfId="6" operator="greaterThan" stopIfTrue="1">
      <formula>Hoja1!#REF!</formula>
    </cfRule>
  </conditionalFormatting>
  <conditionalFormatting sqref="BL20:BL100">
    <cfRule type="cellIs" priority="5" dxfId="6" operator="greaterThan" stopIfTrue="1">
      <formula>Hoja1!#REF!</formula>
    </cfRule>
  </conditionalFormatting>
  <conditionalFormatting sqref="BO20:BO100">
    <cfRule type="cellIs" priority="6" dxfId="6" operator="greaterThan" stopIfTrue="1">
      <formula>Hoja1!#REF!</formula>
    </cfRule>
  </conditionalFormatting>
  <dataValidations count="12">
    <dataValidation type="list" allowBlank="1" showInputMessage="1" showErrorMessage="1" sqref="D20:D99">
      <formula1>Hoja1!$A$104:$A$107</formula1>
    </dataValidation>
    <dataValidation type="list" allowBlank="1" showInputMessage="1" showErrorMessage="1" sqref="G20:G100">
      <formula1>Hoja1!$B$104:$B$106</formula1>
    </dataValidation>
    <dataValidation type="list" allowBlank="1" showInputMessage="1" showErrorMessage="1" sqref="P101:T102">
      <formula1>Hoja1!$G$104:$G$105</formula1>
    </dataValidation>
    <dataValidation type="list" allowBlank="1" showInputMessage="1" showErrorMessage="1" sqref="D2:D4 G14:I14 D9">
      <formula1>Hoja1!$A$114:$A$115</formula1>
    </dataValidation>
    <dataValidation type="list" allowBlank="1" showInputMessage="1" showErrorMessage="1" sqref="D8">
      <formula1>Hoja1!$M$104:$M$113</formula1>
    </dataValidation>
    <dataValidation type="list" allowBlank="1" showInputMessage="1" showErrorMessage="1" sqref="J20:J100">
      <formula1>Hoja1!$C$104:$C$115</formula1>
    </dataValidation>
    <dataValidation type="list" allowBlank="1" showInputMessage="1" showErrorMessage="1" sqref="M20:M100">
      <formula1>Hoja1!$C$104:$C$116</formula1>
    </dataValidation>
    <dataValidation operator="lessThan" allowBlank="1" showInputMessage="1" showErrorMessage="1" sqref="AD20:AD100"/>
    <dataValidation type="list" allowBlank="1" showInputMessage="1" showErrorMessage="1" sqref="K20:K100">
      <formula1>Hoja1!$E$104:$E$122</formula1>
    </dataValidation>
    <dataValidation type="list" allowBlank="1" showInputMessage="1" showErrorMessage="1" sqref="N20:N100">
      <formula1>Hoja1!$E$104:$E$124</formula1>
    </dataValidation>
    <dataValidation type="list" allowBlank="1" showInputMessage="1" showErrorMessage="1" sqref="S10">
      <formula1>Hoja1!$O$104:$O$117</formula1>
    </dataValidation>
    <dataValidation type="list" allowBlank="1" showInputMessage="1" showErrorMessage="1" sqref="P20:P100">
      <formula1>Hoja1!$G$104:$G$107</formula1>
    </dataValidation>
  </dataValidation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Docencia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 García</dc:creator>
  <cp:keywords/>
  <dc:description/>
  <cp:lastModifiedBy>Juan Manuek Garcia Arevalo</cp:lastModifiedBy>
  <dcterms:created xsi:type="dcterms:W3CDTF">2006-05-18T21:56:46Z</dcterms:created>
  <dcterms:modified xsi:type="dcterms:W3CDTF">2013-09-12T21:40:32Z</dcterms:modified>
  <cp:category/>
  <cp:version/>
  <cp:contentType/>
  <cp:contentStatus/>
</cp:coreProperties>
</file>