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0" windowWidth="25600" windowHeight="15420" tabRatio="292" activeTab="0"/>
  </bookViews>
  <sheets>
    <sheet name="Hoja1" sheetId="1" r:id="rId1"/>
    <sheet name="Hoja2" sheetId="2" r:id="rId2"/>
    <sheet name="Hoja3" sheetId="3" r:id="rId3"/>
  </sheets>
  <definedNames>
    <definedName name="ac_R_Im">'Hoja1'!$AW$19:$AW$100</definedName>
    <definedName name="ac_R_Re">'Hoja1'!$AV$19:$AV$100</definedName>
    <definedName name="ac_S_Im">'Hoja1'!$AY$19:$AY$100</definedName>
    <definedName name="ac_S_Re">'Hoja1'!$AX$19:$AX$100</definedName>
    <definedName name="ac_T_Im">'Hoja1'!$BA$19:$BA$100</definedName>
    <definedName name="ac_T_Re">'Hoja1'!$AZ$19:$AZ$100</definedName>
    <definedName name="alfa">'Hoja1'!$J$103:$J$116</definedName>
    <definedName name="Constante_k">'Hoja1'!$D$103:$D$116</definedName>
    <definedName name="FASE">'Hoja1'!$D$19:$D$100</definedName>
    <definedName name="FASE_R">'Hoja1'!$CD$19:$CD$100</definedName>
    <definedName name="FASE_S">'Hoja1'!$CE$19:$CE$100</definedName>
    <definedName name="FASE_T">'Hoja1'!$CF$19:$CF$100</definedName>
    <definedName name="FINAL">'Hoja1'!$B$19:$B$100</definedName>
    <definedName name="I_cosfi">'Hoja1'!$CN$19:$CN$100</definedName>
    <definedName name="I_nom_A">'Hoja1'!$W$19:$W$100</definedName>
    <definedName name="I_tramo">'Hoja1'!$BK$19:$BK$100</definedName>
    <definedName name="I_tramoR">'Hoja1'!$CR$19:$CR$100</definedName>
    <definedName name="I_tramoS">'Hoja1'!$CS$19:$CS$100</definedName>
    <definedName name="I_tramoT">'Hoja1'!$CT$19:$CT$100</definedName>
    <definedName name="Incre_temp">'Hoja1'!$F$103:$F$116</definedName>
    <definedName name="INICIO">'Hoja1'!$A$19:$A$100</definedName>
    <definedName name="IR_cosfi">'Hoja1'!$CX$19:$CX$100</definedName>
    <definedName name="IS_cosfi">'Hoja1'!$CY$19:$CY$100</definedName>
    <definedName name="IT_cosfi">'Hoja1'!$CZ$19:$CZ$100</definedName>
    <definedName name="LONG">'Hoja1'!$C$19:$C$100</definedName>
    <definedName name="Long_tri_Al">'Hoja1'!$CM$19:$CM$100</definedName>
    <definedName name="Long_tri_Cu">'Hoja1'!$CL$19:$CL$100</definedName>
    <definedName name="Long_uni_Al">'Hoja1'!$CK$19:$CK$100</definedName>
    <definedName name="Long_uni_Cu">'Hoja1'!$CJ$19:$CJ$100</definedName>
    <definedName name="N_IM">'Hoja1'!$AT$19:$AT$100</definedName>
    <definedName name="N_RE">'Hoja1'!$AS$19:$AS$100</definedName>
    <definedName name="P_nom_W">'Hoja1'!$E$19:$E$100</definedName>
    <definedName name="R_FINAL">'Hoja1'!$BV$19:$BV$100</definedName>
    <definedName name="R_IM">'Hoja1'!$AK$19:$AK$100</definedName>
    <definedName name="R_RE">'Hoja1'!$AJ$19:$AJ$100</definedName>
    <definedName name="React_tripo">'Hoja1'!$K$103:$K$124</definedName>
    <definedName name="React_unipo">'Hoja1'!$L$103:$L$134</definedName>
    <definedName name="Resis_20_C">'Hoja1'!$I$103:$I$116</definedName>
    <definedName name="S_IM">'Hoja1'!$AN$19:$AN$100</definedName>
    <definedName name="S_RE">'Hoja1'!$AM$19:$AM$100</definedName>
    <definedName name="Sección">'Hoja1'!$E$103:$E$124</definedName>
    <definedName name="Sección_fase">'Hoja1'!$K$19:$K$100</definedName>
    <definedName name="T_IM">'Hoja1'!$AQ$19:$AQ$100</definedName>
    <definedName name="T_RE">'Hoja1'!$AP$19:$AP$100</definedName>
    <definedName name="Tem_amb">'Hoja1'!$H$103:$H$116</definedName>
    <definedName name="Tem_máx">'Hoja1'!$N$103:$N$116</definedName>
    <definedName name="Tipo_cable">'Hoja1'!$C$103:$C$116</definedName>
    <definedName name="U_FINAL">'Hoja1'!$BM$19:$BM$100</definedName>
    <definedName name="U_FINAL_R">'Hoja1'!$BP$19:$BP$100</definedName>
    <definedName name="U_FINAL_S">'Hoja1'!$BR$19:$BR$100</definedName>
    <definedName name="U_FINAL_T">'Hoja1'!$BT$19:$BT$100</definedName>
    <definedName name="X_FINAL">'Hoja1'!$BW$19:$BW$100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<sst xmlns="http://schemas.openxmlformats.org/spreadsheetml/2006/main" count="938" uniqueCount="350">
  <si>
    <t xml:space="preserve">              Fase S</t>
  </si>
  <si>
    <t>-</t>
  </si>
  <si>
    <t xml:space="preserve"> Con neutro fiador de Almelec</t>
  </si>
  <si>
    <t xml:space="preserve">  Posada sobre fachada</t>
  </si>
  <si>
    <t>Tendida con fiador de acero</t>
  </si>
  <si>
    <t>54,6 (Alm)</t>
  </si>
  <si>
    <t>80 (Alm)</t>
  </si>
  <si>
    <t>Trz.mono.-Al</t>
  </si>
  <si>
    <t>Trz. trifá.-Al</t>
  </si>
  <si>
    <t>CT</t>
  </si>
  <si>
    <t>CBT</t>
  </si>
  <si>
    <t>SC1</t>
  </si>
  <si>
    <t>A1</t>
  </si>
  <si>
    <t>CGP1</t>
  </si>
  <si>
    <t>CC1</t>
  </si>
  <si>
    <t>VR1</t>
  </si>
  <si>
    <t>VS1</t>
  </si>
  <si>
    <t>VT1</t>
  </si>
  <si>
    <t>LC1</t>
  </si>
  <si>
    <t>A2</t>
  </si>
  <si>
    <t>SC2</t>
  </si>
  <si>
    <t>CGP2</t>
  </si>
  <si>
    <t>CC2</t>
  </si>
  <si>
    <t>VR2</t>
  </si>
  <si>
    <t>VS2</t>
  </si>
  <si>
    <t>VT2</t>
  </si>
  <si>
    <t>LC2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</si>
  <si>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</si>
  <si>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</si>
  <si>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</si>
  <si>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</si>
  <si>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</si>
  <si>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</si>
  <si>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</si>
  <si>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</si>
  <si>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</si>
  <si>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SCD</t>
  </si>
  <si>
    <t>SC</t>
  </si>
  <si>
    <t>SCA</t>
  </si>
  <si>
    <t>C2</t>
  </si>
  <si>
    <t>CPM1</t>
  </si>
  <si>
    <t>C3</t>
  </si>
  <si>
    <t>CPM2</t>
  </si>
  <si>
    <t>C4</t>
  </si>
  <si>
    <t>CPM3</t>
  </si>
  <si>
    <t>C5</t>
  </si>
  <si>
    <t>CPM4</t>
  </si>
  <si>
    <t>CPM5</t>
  </si>
  <si>
    <t>M1</t>
  </si>
  <si>
    <t>CG</t>
  </si>
  <si>
    <t>CF</t>
  </si>
  <si>
    <t>M2</t>
  </si>
  <si>
    <t>CA</t>
  </si>
  <si>
    <t>D1</t>
  </si>
  <si>
    <t>D2</t>
  </si>
  <si>
    <t>D3</t>
  </si>
  <si>
    <t>D4</t>
  </si>
  <si>
    <t>D5</t>
  </si>
  <si>
    <t>D6</t>
  </si>
  <si>
    <t>Batería condensadores necesaria (kVA)</t>
  </si>
  <si>
    <t>Qmáx (kVAr)</t>
  </si>
  <si>
    <t>Transformador seleccionado(kVA)</t>
  </si>
  <si>
    <t>Sí</t>
  </si>
  <si>
    <t>FASES</t>
  </si>
  <si>
    <t>RS</t>
  </si>
  <si>
    <t>ST</t>
  </si>
  <si>
    <t>TR</t>
  </si>
  <si>
    <t>∆U (V)</t>
  </si>
  <si>
    <t xml:space="preserve"> ∆V %</t>
  </si>
  <si>
    <t xml:space="preserve"> ∆U %</t>
  </si>
  <si>
    <t>∆V (V)</t>
  </si>
  <si>
    <t>M. de cálculo</t>
  </si>
  <si>
    <t xml:space="preserve">         variación de la resistencia con la temperatura, neutro, cálculo fasorial.</t>
  </si>
  <si>
    <t>Cálculo completo</t>
  </si>
  <si>
    <t>Todos los cálculos</t>
  </si>
  <si>
    <t>Cál. Aprox 1</t>
  </si>
  <si>
    <t xml:space="preserve">   Cálculo completo</t>
  </si>
  <si>
    <t xml:space="preserve">         Cálculos aproximados sin considerar: variación de la tensión, reactancia, </t>
  </si>
  <si>
    <t xml:space="preserve">       Cálculo aproximado 2: considerando las fases</t>
  </si>
  <si>
    <t xml:space="preserve">                Intensidades máximas en redes aéreas trenzadas en haz para distribución, aislamiento XLPE (ITC-BT-06)</t>
  </si>
  <si>
    <t xml:space="preserve">                    Intensidades máximas en redes trifásicas enterradas para distribución. Redes monofásicas x 1,225 (ITC-BT-07)</t>
  </si>
  <si>
    <t xml:space="preserve">          Intensidades máximas en redes trifásicas al aire para distribución. Redes monofásicas x 1,225 (ITC-BT-07)</t>
  </si>
  <si>
    <t xml:space="preserve">                Cables unipolares (Cu)</t>
  </si>
  <si>
    <t xml:space="preserve">              Cables tripolares (Cu)</t>
  </si>
  <si>
    <t>Conductores</t>
  </si>
  <si>
    <t xml:space="preserve">aislados en </t>
  </si>
  <si>
    <t>tubos empo-</t>
  </si>
  <si>
    <t xml:space="preserve">trados en </t>
  </si>
  <si>
    <t>3 x</t>
  </si>
  <si>
    <t>2 x</t>
  </si>
  <si>
    <t>o</t>
  </si>
  <si>
    <t>Cables</t>
  </si>
  <si>
    <t>multiconduc.</t>
  </si>
  <si>
    <t>en tubos</t>
  </si>
  <si>
    <t>empotrados</t>
  </si>
  <si>
    <t xml:space="preserve">paredes </t>
  </si>
  <si>
    <t>aislantes</t>
  </si>
  <si>
    <t xml:space="preserve">empotrados </t>
  </si>
  <si>
    <t xml:space="preserve">en paredes </t>
  </si>
  <si>
    <t>aislados en</t>
  </si>
  <si>
    <t>montaje su-</t>
  </si>
  <si>
    <t>perficial o</t>
  </si>
  <si>
    <t>en obra</t>
  </si>
  <si>
    <t>multiconduct.</t>
  </si>
  <si>
    <t>directamente</t>
  </si>
  <si>
    <t>sobre la</t>
  </si>
  <si>
    <t>tubos (2) en</t>
  </si>
  <si>
    <t>en tubos(2)</t>
  </si>
  <si>
    <t>superficial o</t>
  </si>
  <si>
    <t xml:space="preserve">en montaje </t>
  </si>
  <si>
    <t>pared (3)</t>
  </si>
  <si>
    <t>al aire libre(4)</t>
  </si>
  <si>
    <t>Distancia a la</t>
  </si>
  <si>
    <t>pared no</t>
  </si>
  <si>
    <t xml:space="preserve">inferior </t>
  </si>
  <si>
    <t>a 0.3D (5)</t>
  </si>
  <si>
    <t>unipolares</t>
  </si>
  <si>
    <t>unipolares en</t>
  </si>
  <si>
    <t>contacto mu-</t>
  </si>
  <si>
    <t>tuo(4).Distan-</t>
  </si>
  <si>
    <t>cia a la pared</t>
  </si>
  <si>
    <t xml:space="preserve">no inferior </t>
  </si>
  <si>
    <t>a D (5)</t>
  </si>
  <si>
    <t>EPR (1)</t>
  </si>
  <si>
    <t>separados</t>
  </si>
  <si>
    <t>mínimo D (5)</t>
  </si>
  <si>
    <t>PVC (1)</t>
  </si>
  <si>
    <t>Sección mm2</t>
  </si>
  <si>
    <t xml:space="preserve">     Instalaciones interiores :  1) a partir de 25 mm2 de sección.   2) incluyendo canales para instalaciones, canaletas y conductos de sección no circular</t>
  </si>
  <si>
    <t xml:space="preserve">                                          3) O en bandeja no perforada.  4) O en bandeja perforada. 5) D es el diámetro del cable.</t>
  </si>
  <si>
    <t xml:space="preserve">                         MÉTODO COMPLETO</t>
  </si>
  <si>
    <t xml:space="preserve">Cálculo aproximado 1    </t>
  </si>
  <si>
    <t xml:space="preserve">    </t>
  </si>
  <si>
    <t xml:space="preserve">              Fase R</t>
  </si>
  <si>
    <t>LAS TRES FASES Y VOLVER A ACTIVARLAS</t>
  </si>
  <si>
    <t xml:space="preserve">     Imáx (c.i.) &gt; Imáx (R-S-T)</t>
  </si>
  <si>
    <t>Tripolar/Cu</t>
  </si>
  <si>
    <t>Tripolar/Al</t>
  </si>
  <si>
    <t>Unipolar/Cu</t>
  </si>
  <si>
    <t>Unipolar/Al</t>
  </si>
  <si>
    <t>Long_tri_Cu</t>
  </si>
  <si>
    <t>Long_tri_Al</t>
  </si>
  <si>
    <t>Trz.mono.-Cu</t>
  </si>
  <si>
    <t>Trz. trifá.-Cu</t>
  </si>
  <si>
    <t>Trz.mon.-Cu</t>
  </si>
  <si>
    <t>Trz.mon.-Al</t>
  </si>
  <si>
    <t>Tendi. con fiador de acero</t>
  </si>
  <si>
    <t xml:space="preserve">                Cables unipolares (Al)</t>
  </si>
  <si>
    <t xml:space="preserve">              Cables tripolares (Al)</t>
  </si>
  <si>
    <t>XLPE</t>
  </si>
  <si>
    <t>EPR</t>
  </si>
  <si>
    <t>PVC</t>
  </si>
  <si>
    <t>0,7 por defecto</t>
  </si>
  <si>
    <t xml:space="preserve">CELDAS DE ESTE COLOR (OPCIONALES)  </t>
  </si>
  <si>
    <t xml:space="preserve">Icc tri &lt; Icc(cable)                </t>
  </si>
  <si>
    <t>Condición:</t>
  </si>
  <si>
    <t>TABLAS AUXILIARES</t>
  </si>
  <si>
    <t xml:space="preserve">      Si no se cumple la condición: aumentar la sección o disminuir el tiempo de falta</t>
  </si>
  <si>
    <t>∆V % -R</t>
  </si>
  <si>
    <t>∆V % -S</t>
  </si>
  <si>
    <t>∆V % -T</t>
  </si>
  <si>
    <t>Cu-PVC/Aér</t>
  </si>
  <si>
    <t>Cu-EPR/Aér</t>
  </si>
  <si>
    <t>Cu-EPR/Ent</t>
  </si>
  <si>
    <t>Cu-PVC/Ent</t>
  </si>
  <si>
    <t xml:space="preserve">       Neutro</t>
  </si>
  <si>
    <t>R_RE</t>
  </si>
  <si>
    <t>R_IM</t>
  </si>
  <si>
    <t>R_Mod</t>
  </si>
  <si>
    <t>S_RE</t>
  </si>
  <si>
    <t>S_IM</t>
  </si>
  <si>
    <t>S_Mod</t>
  </si>
  <si>
    <t>T_RE</t>
  </si>
  <si>
    <t>T_IM</t>
  </si>
  <si>
    <t>T_Mod</t>
  </si>
  <si>
    <t>N_RE</t>
  </si>
  <si>
    <t>N_IM</t>
  </si>
  <si>
    <t>N_Mod</t>
  </si>
  <si>
    <t>Tensiones simple en cada nudo FIN</t>
  </si>
  <si>
    <t>Fase R + N</t>
  </si>
  <si>
    <t>Trans. necesario con 1.25 Motores (kVA)</t>
  </si>
  <si>
    <t>IR Mot máx</t>
  </si>
  <si>
    <t>IS Mot máx</t>
  </si>
  <si>
    <t>IT Mot máx</t>
  </si>
  <si>
    <t>FASE_R</t>
  </si>
  <si>
    <t>FASE_S</t>
  </si>
  <si>
    <t>FASE_T</t>
  </si>
  <si>
    <t>fac.sim.sin temp.</t>
  </si>
  <si>
    <t>ac_T_Im</t>
  </si>
  <si>
    <t>Tensiones compuestas</t>
  </si>
  <si>
    <t xml:space="preserve">                     </t>
  </si>
  <si>
    <t>RELLENAR LAS CELDAS DE ESTE COLOR</t>
  </si>
  <si>
    <t>LOS RESULTADOS EN ESTE COLOR</t>
  </si>
  <si>
    <t>Incre_temp</t>
  </si>
  <si>
    <t>Alm-XLPE/Aér</t>
  </si>
  <si>
    <t>Imáx (R-S-T)</t>
  </si>
  <si>
    <t>Constante_k</t>
  </si>
  <si>
    <t>Resis_20_C</t>
  </si>
  <si>
    <t>alfa</t>
  </si>
  <si>
    <t>Cond/inst(f)</t>
  </si>
  <si>
    <t>Cond/inst(n)</t>
  </si>
  <si>
    <t>Cálculo de corrientes de cortocircuito en INICIO</t>
  </si>
  <si>
    <t>Sección neut.</t>
  </si>
  <si>
    <t>Tipo carga</t>
  </si>
  <si>
    <t>Punto Mmáx</t>
  </si>
  <si>
    <t>Coefi. Simul.</t>
  </si>
  <si>
    <t>Tensión de cortocircuito ucc%</t>
  </si>
  <si>
    <t>Icc tri (kA)</t>
  </si>
  <si>
    <t>R_FINAL</t>
  </si>
  <si>
    <t>X_FINAL</t>
  </si>
  <si>
    <t>Smáx (kVA)</t>
  </si>
  <si>
    <t>Imáx_R</t>
  </si>
  <si>
    <t>Imáx_S</t>
  </si>
  <si>
    <t>Imáx_T</t>
  </si>
  <si>
    <t>Transformador necesario (kVA)</t>
  </si>
  <si>
    <t>Caídas de tensión simples en %</t>
  </si>
  <si>
    <t xml:space="preserve">       Reactancia correspondiente del trafo. (Ω)</t>
  </si>
  <si>
    <t>Tipo_instala</t>
  </si>
  <si>
    <t>React_tripo</t>
  </si>
  <si>
    <t>React_unipo</t>
  </si>
  <si>
    <t>Reactan/m (f)</t>
  </si>
  <si>
    <t>Reactan/m (n)</t>
  </si>
  <si>
    <t>P_nom_W</t>
  </si>
  <si>
    <t>I Mot máx</t>
  </si>
  <si>
    <t>I_nom_A</t>
  </si>
  <si>
    <t>Imáx(CN)f</t>
  </si>
  <si>
    <t>Fase activada:</t>
  </si>
  <si>
    <t>Rf (Ω)a 20ºC</t>
  </si>
  <si>
    <t>Rn (Ω)a 20ºC</t>
  </si>
  <si>
    <t>I tramo con Mot.</t>
  </si>
  <si>
    <t>Imáx(RST)M</t>
  </si>
  <si>
    <t>IR_cosfi</t>
  </si>
  <si>
    <t>IS_cosfi</t>
  </si>
  <si>
    <t>IT_cosfi</t>
  </si>
  <si>
    <t>U_FINAL_R</t>
  </si>
  <si>
    <t>∆U % -R</t>
  </si>
  <si>
    <t>U_FINAL_S</t>
  </si>
  <si>
    <t>∆U % -S</t>
  </si>
  <si>
    <t>U_FINAL_T</t>
  </si>
  <si>
    <t>∆U % -T</t>
  </si>
  <si>
    <t>IR tramoMo</t>
  </si>
  <si>
    <t>LONGITUDES NECESARIAS DE CONDUCTOR DE FASE POR SECCIONES (EL NEUTRO NO ESTÁ CONSIDERADO)</t>
  </si>
  <si>
    <t>Long_uni_Cu</t>
  </si>
  <si>
    <t>Long_uni_Al</t>
  </si>
  <si>
    <t>Long. tri. Al (m)</t>
  </si>
  <si>
    <t>Long. uni. Cu (m)</t>
  </si>
  <si>
    <t>Long. uni. Al (m)</t>
  </si>
  <si>
    <t>Long. tri. Cu (m)</t>
  </si>
  <si>
    <t>&lt;-- t falta</t>
  </si>
  <si>
    <t>tmáx falta(s)</t>
  </si>
  <si>
    <t>Imáx(CN)n</t>
  </si>
  <si>
    <t>Tem_máx</t>
  </si>
  <si>
    <t>Tem_amb</t>
  </si>
  <si>
    <t>Imáx (c.i.)</t>
  </si>
  <si>
    <t xml:space="preserve">Caídas de tensión simples y compuestas máx. por tramo                     </t>
  </si>
  <si>
    <t>CÁLCULO COMPLETO</t>
  </si>
  <si>
    <t>Máximo</t>
  </si>
  <si>
    <t xml:space="preserve">       CONDICIÓN NECESARIA:</t>
  </si>
  <si>
    <t>LONG</t>
  </si>
  <si>
    <t>fdp</t>
  </si>
  <si>
    <t>Sección</t>
  </si>
  <si>
    <t>IT tramoMo</t>
  </si>
  <si>
    <t xml:space="preserve">               Fase R</t>
  </si>
  <si>
    <t xml:space="preserve">               Fase S</t>
  </si>
  <si>
    <t xml:space="preserve">       Fase T</t>
  </si>
  <si>
    <t xml:space="preserve">              Fase T</t>
  </si>
  <si>
    <t>Cálculo aproximado 2</t>
  </si>
  <si>
    <t>No</t>
  </si>
  <si>
    <t>Tipo_cable</t>
  </si>
  <si>
    <t>DESPRECIAR CAÍDA EN EL NEUTRO</t>
  </si>
  <si>
    <t>IS tramoMo</t>
  </si>
  <si>
    <t>Fase R</t>
  </si>
  <si>
    <t>Fase S</t>
  </si>
  <si>
    <t>Fase S + N</t>
  </si>
  <si>
    <t>Fase T + N</t>
  </si>
  <si>
    <t>Valores eficaces</t>
  </si>
  <si>
    <t>ac_R_Re</t>
  </si>
  <si>
    <t xml:space="preserve">    Cálculo aproximado 1</t>
  </si>
  <si>
    <t>I_tramoR</t>
  </si>
  <si>
    <t>I_tramoS</t>
  </si>
  <si>
    <t>I_tramoT</t>
  </si>
  <si>
    <t>I_tramo</t>
  </si>
  <si>
    <t>I_cosfi</t>
  </si>
  <si>
    <t>U_FINAL</t>
  </si>
  <si>
    <t>Icc cable</t>
  </si>
  <si>
    <t>Cu-XLPE/Aér</t>
  </si>
  <si>
    <t>Cu-XLPE/Ent</t>
  </si>
  <si>
    <t>Al-PVC/Aér</t>
  </si>
  <si>
    <t>Al-PVC/Ent</t>
  </si>
  <si>
    <t>Al-EPR/Aér</t>
  </si>
  <si>
    <t>Al-EPR/Ent</t>
  </si>
  <si>
    <t>Al-XLPE/Aér</t>
  </si>
  <si>
    <t>Al-XLPE/Ent</t>
  </si>
  <si>
    <t>V_R</t>
  </si>
  <si>
    <t>V_S</t>
  </si>
  <si>
    <t>V_T</t>
  </si>
  <si>
    <t>Intensidades en cada tramo</t>
  </si>
  <si>
    <t>R(IR^2+IS^2+IT^2)</t>
  </si>
  <si>
    <t xml:space="preserve"> Pérdidas (kW)</t>
  </si>
  <si>
    <t xml:space="preserve"> Pérdidas %</t>
  </si>
  <si>
    <t xml:space="preserve"> Rendimiento %</t>
  </si>
  <si>
    <t xml:space="preserve">        Cálculo por rendimiento</t>
  </si>
  <si>
    <t>FASE</t>
  </si>
  <si>
    <t>R</t>
  </si>
  <si>
    <t>S</t>
  </si>
  <si>
    <t>T</t>
  </si>
  <si>
    <t>RST</t>
  </si>
  <si>
    <t xml:space="preserve">        PROGRAMA DE CÁLCULO DE LÍNEAS TRIFÁSICAS RAMIFICADAS</t>
  </si>
  <si>
    <t>DESPRECIAR REACTANCIA</t>
  </si>
  <si>
    <t>VARIACIÓN DE RESISTENCIA CON TEMPERATURA</t>
  </si>
  <si>
    <t>PORCENTAJE REACTANCIA NEUTRO</t>
  </si>
  <si>
    <t>INSTRUCCIONES</t>
  </si>
  <si>
    <t>ac_R_Im</t>
  </si>
  <si>
    <t>ac_S_Re</t>
  </si>
  <si>
    <t>ac_S_Im</t>
  </si>
  <si>
    <t>ac_T_Re</t>
  </si>
  <si>
    <t>Tipo instala.</t>
  </si>
  <si>
    <t>Fase</t>
  </si>
  <si>
    <t>Motor</t>
  </si>
  <si>
    <t>Alum. des.</t>
  </si>
  <si>
    <t>Sin relevancia</t>
  </si>
  <si>
    <t>Un (V) =</t>
  </si>
  <si>
    <t>Vn (V) =</t>
  </si>
  <si>
    <t>U_RS</t>
  </si>
  <si>
    <t>U_ST</t>
  </si>
  <si>
    <t>U_TR</t>
  </si>
  <si>
    <t xml:space="preserve"> ∆Vmáx (%)</t>
  </si>
  <si>
    <t xml:space="preserve"> ∆Vmáx (V)</t>
  </si>
  <si>
    <t>∆Umáx (V)</t>
  </si>
  <si>
    <t xml:space="preserve"> ∆Umáx (%)</t>
  </si>
  <si>
    <t>Sección (mm^2)</t>
  </si>
  <si>
    <t>Pmáx (kW)</t>
  </si>
  <si>
    <t>Imáx (A)</t>
  </si>
  <si>
    <t>Nº receptores</t>
  </si>
  <si>
    <t>Sección_fase</t>
  </si>
  <si>
    <t xml:space="preserve">Sin considerar las fases       </t>
  </si>
  <si>
    <t>∆Vmáx % ≤</t>
  </si>
  <si>
    <t>VARIACIÓN DE TENSIÓN EN NUDOS</t>
  </si>
  <si>
    <t>Fase T</t>
  </si>
  <si>
    <t>Porcentaje n.</t>
  </si>
  <si>
    <t>INICIO</t>
  </si>
  <si>
    <t>FINAL</t>
  </si>
  <si>
    <t>Resis. fase R (Ω)</t>
  </si>
  <si>
    <t>Resis. fase S (Ω)</t>
  </si>
  <si>
    <t>Resis. fase T (Ω)</t>
  </si>
  <si>
    <t>Resis. neutro (Ω)</t>
  </si>
  <si>
    <t>Reacta. fase (Ω)</t>
  </si>
  <si>
    <t>Reacta. neutro(Ω)</t>
  </si>
  <si>
    <t>Pn trafo</t>
  </si>
  <si>
    <t>SI APARECEN VALORES RAROS DESACTIVAR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</si>
</sst>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"/>
    <numFmt numFmtId="173" formatCode="0.00000"/>
    <numFmt numFmtId="174" formatCode="000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Arial"/>
      <family val="0"/>
    </font>
    <font>
      <sz val="8"/>
      <name val="Verdana"/>
      <family val="0"/>
    </font>
    <font>
      <sz val="10"/>
      <name val="Arial"/>
      <family val="0"/>
    </font>
    <font>
      <sz val="9"/>
      <name val="Verdana"/>
      <family val="0"/>
    </font>
    <font>
      <sz val="14"/>
      <color indexed="10"/>
      <name val="Verdana"/>
      <family val="0"/>
    </font>
    <font>
      <sz val="10"/>
      <color indexed="10"/>
      <name val="Arial"/>
      <family val="0"/>
    </font>
    <font>
      <sz val="9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3" xfId="0" applyFont="1" applyFill="1" applyBorder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6" fillId="33" borderId="2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21" xfId="0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center"/>
    </xf>
    <xf numFmtId="2" fontId="8" fillId="34" borderId="19" xfId="0" applyNumberFormat="1" applyFont="1" applyFill="1" applyBorder="1" applyAlignment="1">
      <alignment horizontal="center"/>
    </xf>
    <xf numFmtId="2" fontId="8" fillId="34" borderId="0" xfId="0" applyNumberFormat="1" applyFont="1" applyFill="1" applyBorder="1" applyAlignment="1">
      <alignment horizontal="center"/>
    </xf>
    <xf numFmtId="0" fontId="8" fillId="35" borderId="22" xfId="0" applyFont="1" applyFill="1" applyBorder="1" applyAlignment="1" applyProtection="1">
      <alignment horizontal="center"/>
      <protection locked="0"/>
    </xf>
    <xf numFmtId="0" fontId="8" fillId="35" borderId="20" xfId="0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>
      <alignment horizontal="right"/>
    </xf>
    <xf numFmtId="1" fontId="8" fillId="34" borderId="15" xfId="0" applyNumberFormat="1" applyFont="1" applyFill="1" applyBorder="1" applyAlignment="1">
      <alignment horizontal="center"/>
    </xf>
    <xf numFmtId="1" fontId="8" fillId="34" borderId="16" xfId="0" applyNumberFormat="1" applyFont="1" applyFill="1" applyBorder="1" applyAlignment="1">
      <alignment horizontal="center"/>
    </xf>
    <xf numFmtId="2" fontId="8" fillId="34" borderId="13" xfId="0" applyNumberFormat="1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2" fontId="0" fillId="34" borderId="19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9" xfId="0" applyFill="1" applyBorder="1" applyAlignment="1">
      <alignment/>
    </xf>
    <xf numFmtId="1" fontId="0" fillId="34" borderId="15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Continuous"/>
    </xf>
    <xf numFmtId="0" fontId="0" fillId="33" borderId="2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17" xfId="0" applyFill="1" applyBorder="1" applyAlignment="1">
      <alignment/>
    </xf>
    <xf numFmtId="173" fontId="0" fillId="34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73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 horizontal="center"/>
    </xf>
    <xf numFmtId="173" fontId="0" fillId="34" borderId="19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1" fontId="0" fillId="34" borderId="19" xfId="0" applyNumberFormat="1" applyFill="1" applyBorder="1" applyAlignment="1">
      <alignment horizontal="center"/>
    </xf>
    <xf numFmtId="173" fontId="0" fillId="34" borderId="19" xfId="0" applyNumberFormat="1" applyFill="1" applyBorder="1" applyAlignment="1">
      <alignment/>
    </xf>
    <xf numFmtId="0" fontId="0" fillId="34" borderId="19" xfId="0" applyFill="1" applyBorder="1" applyAlignment="1">
      <alignment horizontal="center"/>
    </xf>
    <xf numFmtId="173" fontId="0" fillId="34" borderId="17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173" fontId="0" fillId="34" borderId="17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2" xfId="0" applyFill="1" applyBorder="1" applyAlignment="1">
      <alignment horizontal="center"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6" fillId="39" borderId="16" xfId="0" applyFont="1" applyFill="1" applyBorder="1" applyAlignment="1">
      <alignment horizontal="left"/>
    </xf>
    <xf numFmtId="0" fontId="6" fillId="39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8" fillId="35" borderId="15" xfId="0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 applyProtection="1">
      <alignment horizontal="center"/>
      <protection locked="0"/>
    </xf>
    <xf numFmtId="0" fontId="8" fillId="35" borderId="17" xfId="0" applyFont="1" applyFill="1" applyBorder="1" applyAlignment="1" applyProtection="1">
      <alignment horizontal="center"/>
      <protection locked="0"/>
    </xf>
    <xf numFmtId="1" fontId="8" fillId="35" borderId="19" xfId="0" applyNumberFormat="1" applyFont="1" applyFill="1" applyBorder="1" applyAlignment="1" applyProtection="1">
      <alignment horizontal="center"/>
      <protection locked="0"/>
    </xf>
    <xf numFmtId="2" fontId="8" fillId="35" borderId="19" xfId="0" applyNumberFormat="1" applyFont="1" applyFill="1" applyBorder="1" applyAlignment="1" applyProtection="1">
      <alignment horizontal="center"/>
      <protection locked="0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40" borderId="21" xfId="0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2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2" fontId="0" fillId="34" borderId="2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172" fontId="0" fillId="34" borderId="15" xfId="0" applyNumberForma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6" fillId="34" borderId="36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6" fillId="39" borderId="30" xfId="0" applyFont="1" applyFill="1" applyBorder="1" applyAlignment="1">
      <alignment horizontal="left"/>
    </xf>
    <xf numFmtId="0" fontId="6" fillId="39" borderId="25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10" fillId="36" borderId="38" xfId="0" applyFont="1" applyFill="1" applyBorder="1" applyAlignment="1">
      <alignment/>
    </xf>
    <xf numFmtId="0" fontId="10" fillId="36" borderId="39" xfId="0" applyFont="1" applyFill="1" applyBorder="1" applyAlignment="1">
      <alignment/>
    </xf>
    <xf numFmtId="0" fontId="0" fillId="36" borderId="4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23" xfId="0" applyFill="1" applyBorder="1" applyAlignment="1">
      <alignment/>
    </xf>
    <xf numFmtId="0" fontId="9" fillId="33" borderId="23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12" fillId="0" borderId="21" xfId="0" applyFont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0" fillId="40" borderId="22" xfId="0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2" fontId="0" fillId="34" borderId="20" xfId="0" applyNumberFormat="1" applyFill="1" applyBorder="1" applyAlignment="1">
      <alignment/>
    </xf>
    <xf numFmtId="0" fontId="0" fillId="33" borderId="21" xfId="0" applyFont="1" applyFill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" fontId="8" fillId="34" borderId="19" xfId="0" applyNumberFormat="1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0" fontId="9" fillId="34" borderId="24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42" borderId="45" xfId="0" applyFill="1" applyBorder="1" applyAlignment="1">
      <alignment/>
    </xf>
    <xf numFmtId="0" fontId="0" fillId="42" borderId="41" xfId="0" applyFill="1" applyBorder="1" applyAlignment="1">
      <alignment/>
    </xf>
    <xf numFmtId="0" fontId="0" fillId="42" borderId="42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42" borderId="14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42" borderId="25" xfId="0" applyFill="1" applyBorder="1" applyAlignment="1">
      <alignment/>
    </xf>
    <xf numFmtId="0" fontId="0" fillId="42" borderId="58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6" fillId="33" borderId="66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51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7" xfId="0" applyFill="1" applyBorder="1" applyAlignment="1">
      <alignment horizontal="right"/>
    </xf>
    <xf numFmtId="2" fontId="0" fillId="34" borderId="66" xfId="0" applyNumberFormat="1" applyFill="1" applyBorder="1" applyAlignment="1">
      <alignment horizontal="center"/>
    </xf>
    <xf numFmtId="0" fontId="0" fillId="33" borderId="46" xfId="0" applyFill="1" applyBorder="1" applyAlignment="1">
      <alignment horizontal="right"/>
    </xf>
    <xf numFmtId="2" fontId="0" fillId="34" borderId="67" xfId="0" applyNumberFormat="1" applyFill="1" applyBorder="1" applyAlignment="1">
      <alignment horizontal="center"/>
    </xf>
    <xf numFmtId="2" fontId="0" fillId="34" borderId="46" xfId="0" applyNumberFormat="1" applyFill="1" applyBorder="1" applyAlignment="1">
      <alignment horizontal="center"/>
    </xf>
    <xf numFmtId="2" fontId="0" fillId="34" borderId="53" xfId="0" applyNumberFormat="1" applyFill="1" applyBorder="1" applyAlignment="1">
      <alignment horizontal="center"/>
    </xf>
    <xf numFmtId="2" fontId="0" fillId="34" borderId="56" xfId="0" applyNumberFormat="1" applyFill="1" applyBorder="1" applyAlignment="1">
      <alignment horizontal="center"/>
    </xf>
    <xf numFmtId="2" fontId="0" fillId="34" borderId="44" xfId="0" applyNumberFormat="1" applyFill="1" applyBorder="1" applyAlignment="1">
      <alignment horizontal="center"/>
    </xf>
    <xf numFmtId="0" fontId="0" fillId="36" borderId="45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68" xfId="0" applyFill="1" applyBorder="1" applyAlignment="1">
      <alignment/>
    </xf>
    <xf numFmtId="0" fontId="0" fillId="33" borderId="58" xfId="0" applyFill="1" applyBorder="1" applyAlignment="1">
      <alignment horizontal="right"/>
    </xf>
    <xf numFmtId="2" fontId="0" fillId="34" borderId="12" xfId="0" applyNumberFormat="1" applyFill="1" applyBorder="1" applyAlignment="1">
      <alignment/>
    </xf>
    <xf numFmtId="2" fontId="0" fillId="34" borderId="55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4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33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A257"/>
  <sheetViews>
    <sheetView tabSelected="1" workbookViewId="0" topLeftCell="A13">
      <selection activeCell="D2" sqref="D2"/>
    </sheetView>
  </sheetViews>
  <sheetFormatPr defaultColWidth="11.00390625" defaultRowHeight="12.75" outlineLevelRow="1"/>
  <cols>
    <col min="1" max="1" width="12.25390625" style="0" customWidth="1"/>
    <col min="2" max="2" width="11.375" style="0" customWidth="1"/>
    <col min="3" max="3" width="11.75390625" style="0" customWidth="1"/>
    <col min="7" max="7" width="12.00390625" style="0" customWidth="1"/>
    <col min="16" max="19" width="12.375" style="0" customWidth="1"/>
    <col min="20" max="20" width="14.75390625" style="0" customWidth="1"/>
    <col min="79" max="80" width="10.75390625" style="83" customWidth="1"/>
    <col min="105" max="105" width="17.25390625" style="0" customWidth="1"/>
  </cols>
  <sheetData>
    <row r="1" ht="13.5" thickBot="1"/>
    <row r="2" spans="1:12" ht="19.5" outlineLevel="1" thickBot="1" thickTop="1">
      <c r="A2" s="81"/>
      <c r="B2" s="10"/>
      <c r="C2" s="3" t="s">
        <v>337</v>
      </c>
      <c r="D2" s="114" t="s">
        <v>62</v>
      </c>
      <c r="F2" s="158" t="s">
        <v>307</v>
      </c>
      <c r="G2" s="159"/>
      <c r="H2" s="159"/>
      <c r="I2" s="159"/>
      <c r="J2" s="159"/>
      <c r="K2" s="159"/>
      <c r="L2" s="160"/>
    </row>
    <row r="3" spans="1:22" ht="13.5" outlineLevel="1" thickTop="1">
      <c r="A3" s="82"/>
      <c r="B3" s="102"/>
      <c r="C3" s="103" t="s">
        <v>309</v>
      </c>
      <c r="D3" s="115" t="s">
        <v>62</v>
      </c>
      <c r="Q3" s="253" t="s">
        <v>77</v>
      </c>
      <c r="R3" s="254"/>
      <c r="S3" s="254"/>
      <c r="T3" s="254"/>
      <c r="U3" s="254"/>
      <c r="V3" s="255"/>
    </row>
    <row r="4" spans="1:22" ht="12.75">
      <c r="A4" s="21"/>
      <c r="B4" s="14"/>
      <c r="C4" s="6" t="s">
        <v>308</v>
      </c>
      <c r="D4" s="116" t="s">
        <v>267</v>
      </c>
      <c r="F4" s="51"/>
      <c r="G4" s="52"/>
      <c r="H4" s="52"/>
      <c r="I4" s="52"/>
      <c r="J4" s="52" t="s">
        <v>255</v>
      </c>
      <c r="K4" s="52"/>
      <c r="L4" s="52"/>
      <c r="M4" s="52"/>
      <c r="N4" s="52"/>
      <c r="O4" s="105"/>
      <c r="Q4" s="256" t="s">
        <v>72</v>
      </c>
      <c r="R4" s="257"/>
      <c r="S4" s="257"/>
      <c r="T4" s="257"/>
      <c r="U4" s="257"/>
      <c r="V4" s="258"/>
    </row>
    <row r="5" spans="2:26" ht="12.75">
      <c r="B5" s="4"/>
      <c r="C5" s="12" t="s">
        <v>321</v>
      </c>
      <c r="D5" s="117">
        <v>400</v>
      </c>
      <c r="E5" s="7"/>
      <c r="F5" s="9"/>
      <c r="G5" s="2" t="s">
        <v>302</v>
      </c>
      <c r="H5" s="18" t="s">
        <v>302</v>
      </c>
      <c r="I5" s="10" t="s">
        <v>302</v>
      </c>
      <c r="J5" s="18" t="s">
        <v>302</v>
      </c>
      <c r="K5" s="9"/>
      <c r="L5" s="18" t="s">
        <v>63</v>
      </c>
      <c r="M5" s="18" t="s">
        <v>63</v>
      </c>
      <c r="N5" s="11" t="s">
        <v>63</v>
      </c>
      <c r="O5" s="11"/>
      <c r="Q5" s="242" t="s">
        <v>277</v>
      </c>
      <c r="R5" s="241"/>
      <c r="S5" s="133" t="s">
        <v>78</v>
      </c>
      <c r="T5" s="128"/>
      <c r="U5" s="52"/>
      <c r="V5" s="243"/>
      <c r="X5" s="42" t="s">
        <v>301</v>
      </c>
      <c r="Y5" s="47"/>
      <c r="Z5" s="98"/>
    </row>
    <row r="6" spans="1:26" ht="12.75">
      <c r="A6" s="8"/>
      <c r="B6" s="4"/>
      <c r="C6" s="12" t="s">
        <v>322</v>
      </c>
      <c r="D6" s="193">
        <f>D5/SQRT(3)</f>
        <v>230.94010767585033</v>
      </c>
      <c r="E6" s="7"/>
      <c r="F6" s="13"/>
      <c r="G6" s="5" t="s">
        <v>303</v>
      </c>
      <c r="H6" s="19" t="s">
        <v>304</v>
      </c>
      <c r="I6" s="14" t="s">
        <v>305</v>
      </c>
      <c r="J6" s="19" t="s">
        <v>306</v>
      </c>
      <c r="K6" s="13"/>
      <c r="L6" s="19" t="s">
        <v>64</v>
      </c>
      <c r="M6" s="19" t="s">
        <v>65</v>
      </c>
      <c r="N6" s="15" t="s">
        <v>66</v>
      </c>
      <c r="O6" s="15" t="s">
        <v>256</v>
      </c>
      <c r="Q6" s="244"/>
      <c r="R6" s="259" t="s">
        <v>335</v>
      </c>
      <c r="S6" s="134" t="s">
        <v>271</v>
      </c>
      <c r="T6" s="127" t="s">
        <v>272</v>
      </c>
      <c r="U6" s="127" t="s">
        <v>338</v>
      </c>
      <c r="V6" s="201" t="s">
        <v>256</v>
      </c>
      <c r="X6" s="185" t="s">
        <v>298</v>
      </c>
      <c r="Y6" s="181"/>
      <c r="Z6" s="183">
        <f>DA102/1000</f>
        <v>4.719197290173846</v>
      </c>
    </row>
    <row r="7" spans="1:26" ht="12.75">
      <c r="A7" s="8"/>
      <c r="B7" s="4"/>
      <c r="C7" s="12" t="s">
        <v>336</v>
      </c>
      <c r="D7" s="118">
        <v>5.5</v>
      </c>
      <c r="E7" s="7"/>
      <c r="F7" s="16" t="s">
        <v>333</v>
      </c>
      <c r="G7" s="27">
        <f>DCOUNT(FASE,,G5:G6)-J7</f>
        <v>9</v>
      </c>
      <c r="H7" s="28">
        <f>DCOUNT(FASE,,H5:H6)</f>
        <v>8</v>
      </c>
      <c r="I7" s="29">
        <f>DCOUNT(FASE,,I5:I6)</f>
        <v>7</v>
      </c>
      <c r="J7" s="28">
        <f>DCOUNT(FASE,,J5:J6)</f>
        <v>7</v>
      </c>
      <c r="K7" s="16" t="s">
        <v>328</v>
      </c>
      <c r="L7" s="36">
        <f>IF(A20="",0,$D$5-MIN(BE20:BE100))</f>
        <v>14.053035149573589</v>
      </c>
      <c r="M7" s="36">
        <f>IF(A20="",0,$D$5-MIN(BF20:BF100))</f>
        <v>12.585264760749624</v>
      </c>
      <c r="N7" s="37">
        <f>IF(A20="",0,$D$5-MIN(BG20:BG100))</f>
        <v>12.668729883980404</v>
      </c>
      <c r="O7" s="37">
        <f>MAX(L7:N7)</f>
        <v>14.053035149573589</v>
      </c>
      <c r="Q7" s="245" t="s">
        <v>332</v>
      </c>
      <c r="R7" s="132">
        <f>MAX(BL20:BL100)</f>
        <v>714.0302963782474</v>
      </c>
      <c r="S7" s="135">
        <f>MAX(CU20:CU100)</f>
        <v>319.63959951479217</v>
      </c>
      <c r="T7" s="67">
        <f>MAX(CV20:CV100)</f>
        <v>331.0610672994277</v>
      </c>
      <c r="U7" s="129">
        <f>MAX(CW20:CW100)</f>
        <v>266.48900075769467</v>
      </c>
      <c r="V7" s="246">
        <f>MAX(S7:U7)</f>
        <v>331.0610672994277</v>
      </c>
      <c r="X7" s="182" t="s">
        <v>299</v>
      </c>
      <c r="Y7" s="181"/>
      <c r="Z7" s="183">
        <f>IF(J8=0,0,Z6*100/J8)</f>
        <v>2.5885296891381944</v>
      </c>
    </row>
    <row r="8" spans="1:26" ht="13.5" thickBot="1">
      <c r="A8" s="8"/>
      <c r="B8" s="130"/>
      <c r="C8" s="104" t="s">
        <v>310</v>
      </c>
      <c r="D8" s="157">
        <v>50</v>
      </c>
      <c r="E8" s="7"/>
      <c r="F8" s="17" t="s">
        <v>331</v>
      </c>
      <c r="G8" s="30">
        <f>IF(A20="",0,D6*AJ20/1000)</f>
        <v>63.562580823950974</v>
      </c>
      <c r="H8" s="31">
        <f>IF(A20="",0,D6*(-0.5*AM20-SQRT(3)/2*AN20)/1000)</f>
        <v>65.3421034983819</v>
      </c>
      <c r="I8" s="32">
        <f>IF(A20="",0,D6*(-0.5*AP20+SQRT(3)/2*AQ20)/1000)</f>
        <v>53.40719537219441</v>
      </c>
      <c r="J8" s="31">
        <f>G8+H8+I8</f>
        <v>182.3118796945273</v>
      </c>
      <c r="K8" s="20" t="s">
        <v>329</v>
      </c>
      <c r="L8" s="38">
        <f>100*L7/$D$5</f>
        <v>3.513258787393397</v>
      </c>
      <c r="M8" s="38">
        <f>100*M7/$D$5</f>
        <v>3.146316190187406</v>
      </c>
      <c r="N8" s="39">
        <f>100*N7/$D$5</f>
        <v>3.167182470995101</v>
      </c>
      <c r="O8" s="39">
        <f>MAX(L8:N8)</f>
        <v>3.513258787393397</v>
      </c>
      <c r="Q8" s="247" t="s">
        <v>326</v>
      </c>
      <c r="R8" s="248">
        <f>MAX(BN20:BN100)</f>
        <v>4.946033085310688</v>
      </c>
      <c r="S8" s="249">
        <f>MAX(BQ20:BQ100)</f>
        <v>2.33500401986619</v>
      </c>
      <c r="T8" s="250">
        <f>MAX(BS20:BS100)</f>
        <v>2.284085340688023</v>
      </c>
      <c r="U8" s="251">
        <f>MAX(BU20:BU100)</f>
        <v>1.8840015089263602</v>
      </c>
      <c r="V8" s="252">
        <f>MAX(S8:U8)</f>
        <v>2.33500401986619</v>
      </c>
      <c r="X8" s="182" t="s">
        <v>300</v>
      </c>
      <c r="Y8" s="181"/>
      <c r="Z8" s="184">
        <f>IF(J8=0,0,(J8-Z6)*100/J8)</f>
        <v>97.41147022449601</v>
      </c>
    </row>
    <row r="9" spans="1:10" ht="13.5" thickTop="1">
      <c r="A9" s="8"/>
      <c r="B9" s="5"/>
      <c r="C9" s="6" t="s">
        <v>269</v>
      </c>
      <c r="D9" s="34" t="s">
        <v>267</v>
      </c>
      <c r="E9" s="7"/>
      <c r="F9" s="17" t="s">
        <v>60</v>
      </c>
      <c r="G9" s="30">
        <f>IF(A20="",0,-D6*AK20/1000)</f>
        <v>32.37352330813962</v>
      </c>
      <c r="H9" s="31">
        <f>IF(A20="",0,D6*(0.5*AN20-SQRT(3)/2*AM20)/1000)</f>
        <v>33.14985867393679</v>
      </c>
      <c r="I9" s="32">
        <f>IF(A20="",0,D6*(0.5*AQ20+SQRT(3)/2*AP20)/1000)</f>
        <v>27.20294512092521</v>
      </c>
      <c r="J9" s="31">
        <f>G9+H9+I9</f>
        <v>92.72632710300162</v>
      </c>
    </row>
    <row r="10" spans="6:19" ht="12.75">
      <c r="F10" s="17" t="s">
        <v>210</v>
      </c>
      <c r="G10" s="30">
        <f>SQRT(G8^2+G9^2)</f>
        <v>71.33194720729246</v>
      </c>
      <c r="H10" s="31">
        <f>SQRT(H8^2+H9^2)</f>
        <v>73.27007315197136</v>
      </c>
      <c r="I10" s="32">
        <f>SQRT(I8^2+I9^2)</f>
        <v>59.93603874778356</v>
      </c>
      <c r="J10" s="31">
        <f>SQRT(J8^2+J9^2)</f>
        <v>204.53799944207103</v>
      </c>
      <c r="L10" s="42"/>
      <c r="M10" s="43"/>
      <c r="N10" s="43" t="s">
        <v>214</v>
      </c>
      <c r="O10" s="67">
        <f>3*MAX(G10:I10)</f>
        <v>219.81021945591408</v>
      </c>
      <c r="P10" s="42"/>
      <c r="Q10" s="47"/>
      <c r="R10" s="43" t="s">
        <v>61</v>
      </c>
      <c r="S10" s="53">
        <v>250</v>
      </c>
    </row>
    <row r="11" spans="2:23" ht="12.75">
      <c r="B11" s="51"/>
      <c r="C11" s="104" t="s">
        <v>311</v>
      </c>
      <c r="D11" s="105"/>
      <c r="F11" s="17" t="s">
        <v>332</v>
      </c>
      <c r="G11" s="30">
        <f>MAX(CO20:CO100)</f>
        <v>311.423525455171</v>
      </c>
      <c r="H11" s="31">
        <f>MAX(CP20:CP100)</f>
        <v>319.8158569742992</v>
      </c>
      <c r="I11" s="32">
        <f>MAX(CQ20:CQ100)</f>
        <v>262.0777943294875</v>
      </c>
      <c r="J11" s="31">
        <f>MAX(G11:I11)</f>
        <v>319.8158569742992</v>
      </c>
      <c r="L11" s="44"/>
      <c r="M11" s="45"/>
      <c r="N11" s="188" t="s">
        <v>180</v>
      </c>
      <c r="O11" s="78">
        <f>IF(A20="",0,3*D6*J11/1000)</f>
        <v>221.57492533826704</v>
      </c>
      <c r="P11" s="48"/>
      <c r="Q11" s="49"/>
      <c r="R11" s="50" t="s">
        <v>206</v>
      </c>
      <c r="S11" s="54">
        <v>5</v>
      </c>
      <c r="W11" s="22"/>
    </row>
    <row r="12" spans="2:19" ht="13.5" thickBot="1">
      <c r="B12" s="106" t="s">
        <v>191</v>
      </c>
      <c r="C12" s="106"/>
      <c r="D12" s="106"/>
      <c r="F12" s="17" t="s">
        <v>327</v>
      </c>
      <c r="G12" s="30">
        <f>IF(A20="",0,$D$6-MIN(BB20:BB100))</f>
        <v>8.99696157407871</v>
      </c>
      <c r="H12" s="31">
        <f>IF(A20="",0,$D$6-MIN(BC20:BC100))</f>
        <v>11.193260494332492</v>
      </c>
      <c r="I12" s="32">
        <f>IF(A20="",0,$D$6-MIN(BD20:BD100))</f>
        <v>4.639469682534525</v>
      </c>
      <c r="J12" s="31">
        <f>MAX(G12:I12)</f>
        <v>11.193260494332492</v>
      </c>
      <c r="L12" s="44"/>
      <c r="M12" s="45"/>
      <c r="N12" s="46" t="s">
        <v>59</v>
      </c>
      <c r="O12" s="78">
        <f>J9</f>
        <v>92.72632710300162</v>
      </c>
      <c r="P12" s="42" t="s">
        <v>216</v>
      </c>
      <c r="Q12" s="47"/>
      <c r="R12" s="151"/>
      <c r="S12" s="146">
        <f>IF(S10="","",S11*D5^2/100/(S10*1000))</f>
        <v>0.032</v>
      </c>
    </row>
    <row r="13" spans="2:29" ht="15" thickBot="1" thickTop="1">
      <c r="B13" s="107" t="s">
        <v>153</v>
      </c>
      <c r="C13" s="107"/>
      <c r="D13" s="107"/>
      <c r="F13" s="17" t="s">
        <v>326</v>
      </c>
      <c r="G13" s="30">
        <f>100*G12/$D$6</f>
        <v>3.8957986400122966</v>
      </c>
      <c r="H13" s="30">
        <f>100*H12/$D$6</f>
        <v>4.84682396963435</v>
      </c>
      <c r="I13" s="30">
        <f>100*I12/$D$6</f>
        <v>2.0089493025813114</v>
      </c>
      <c r="J13" s="30">
        <f>100*J12/$D$6</f>
        <v>4.84682396963435</v>
      </c>
      <c r="K13" s="148"/>
      <c r="L13" s="149"/>
      <c r="M13" s="149"/>
      <c r="N13" s="149"/>
      <c r="O13" s="149"/>
      <c r="P13" s="149" t="s">
        <v>241</v>
      </c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0"/>
    </row>
    <row r="14" spans="2:29" ht="15" thickBot="1" thickTop="1">
      <c r="B14" s="108" t="s">
        <v>192</v>
      </c>
      <c r="C14" s="108"/>
      <c r="D14" s="108"/>
      <c r="F14" s="35" t="s">
        <v>226</v>
      </c>
      <c r="G14" s="33" t="s">
        <v>62</v>
      </c>
      <c r="H14" s="34" t="s">
        <v>62</v>
      </c>
      <c r="I14" s="33" t="s">
        <v>62</v>
      </c>
      <c r="J14" s="141" t="s">
        <v>330</v>
      </c>
      <c r="K14" s="19">
        <v>1.5</v>
      </c>
      <c r="L14" s="19">
        <v>2.5</v>
      </c>
      <c r="M14" s="19">
        <v>4</v>
      </c>
      <c r="N14" s="19">
        <v>6</v>
      </c>
      <c r="O14" s="19">
        <v>10</v>
      </c>
      <c r="P14" s="19">
        <v>16</v>
      </c>
      <c r="Q14" s="19">
        <v>25</v>
      </c>
      <c r="R14" s="19">
        <v>35</v>
      </c>
      <c r="S14" s="19">
        <v>50</v>
      </c>
      <c r="T14" s="19">
        <v>70</v>
      </c>
      <c r="U14" s="19">
        <v>95</v>
      </c>
      <c r="V14" s="19">
        <v>120</v>
      </c>
      <c r="W14" s="19">
        <v>150</v>
      </c>
      <c r="X14" s="19">
        <v>185</v>
      </c>
      <c r="Y14" s="19">
        <v>240</v>
      </c>
      <c r="Z14" s="19">
        <v>300</v>
      </c>
      <c r="AA14" s="19">
        <v>400</v>
      </c>
      <c r="AB14" s="19">
        <v>500</v>
      </c>
      <c r="AC14" s="147">
        <v>630</v>
      </c>
    </row>
    <row r="15" spans="7:36" ht="13.5" thickTop="1">
      <c r="G15" s="177" t="s">
        <v>349</v>
      </c>
      <c r="H15" s="173"/>
      <c r="I15" s="174"/>
      <c r="J15" s="142" t="s">
        <v>245</v>
      </c>
      <c r="K15" s="57">
        <f>SUMIF(Sección_fase,K14,Long_uni_Cu)</f>
        <v>0</v>
      </c>
      <c r="L15" s="57">
        <f>SUMIF(Sección_fase,L14,Long_uni_Cu)</f>
        <v>180</v>
      </c>
      <c r="M15" s="57">
        <f aca="true" t="shared" si="0" ref="M15:AC15">SUMIF(Sección_fase,M14,Long_uni_Cu)</f>
        <v>0</v>
      </c>
      <c r="N15" s="57">
        <f t="shared" si="0"/>
        <v>0</v>
      </c>
      <c r="O15" s="57">
        <f t="shared" si="0"/>
        <v>0</v>
      </c>
      <c r="P15" s="57">
        <f t="shared" si="0"/>
        <v>0</v>
      </c>
      <c r="Q15" s="57">
        <f t="shared" si="0"/>
        <v>0</v>
      </c>
      <c r="R15" s="57">
        <f t="shared" si="0"/>
        <v>30</v>
      </c>
      <c r="S15" s="57">
        <f t="shared" si="0"/>
        <v>36</v>
      </c>
      <c r="T15" s="57">
        <f t="shared" si="0"/>
        <v>0</v>
      </c>
      <c r="U15" s="57">
        <f t="shared" si="0"/>
        <v>0</v>
      </c>
      <c r="V15" s="57">
        <f t="shared" si="0"/>
        <v>0</v>
      </c>
      <c r="W15" s="57">
        <f t="shared" si="0"/>
        <v>0</v>
      </c>
      <c r="X15" s="57">
        <f t="shared" si="0"/>
        <v>0</v>
      </c>
      <c r="Y15" s="57">
        <f t="shared" si="0"/>
        <v>0</v>
      </c>
      <c r="Z15" s="57">
        <f t="shared" si="0"/>
        <v>0</v>
      </c>
      <c r="AA15" s="57">
        <f t="shared" si="0"/>
        <v>0</v>
      </c>
      <c r="AB15" s="57">
        <f t="shared" si="0"/>
        <v>0</v>
      </c>
      <c r="AC15" s="153">
        <f t="shared" si="0"/>
        <v>0</v>
      </c>
      <c r="AD15" s="154"/>
      <c r="AJ15" s="25"/>
    </row>
    <row r="16" spans="7:79" ht="13.5" thickBot="1">
      <c r="G16" s="178" t="s">
        <v>134</v>
      </c>
      <c r="H16" s="175"/>
      <c r="I16" s="176"/>
      <c r="J16" s="143" t="s">
        <v>246</v>
      </c>
      <c r="K16" s="57">
        <f>SUMIF(Sección_fase,K14,Long_uni_Al)</f>
        <v>0</v>
      </c>
      <c r="L16" s="57">
        <f>SUMIF(Sección_fase,L14,Long_uni_Al)</f>
        <v>0</v>
      </c>
      <c r="M16" s="57">
        <f aca="true" t="shared" si="1" ref="M16:AC16">SUMIF(Sección_fase,M14,Long_uni_Al)</f>
        <v>0</v>
      </c>
      <c r="N16" s="57">
        <f t="shared" si="1"/>
        <v>0</v>
      </c>
      <c r="O16" s="57">
        <f t="shared" si="1"/>
        <v>0</v>
      </c>
      <c r="P16" s="57">
        <f t="shared" si="1"/>
        <v>162</v>
      </c>
      <c r="Q16" s="57">
        <f t="shared" si="1"/>
        <v>300</v>
      </c>
      <c r="R16" s="57">
        <f t="shared" si="1"/>
        <v>0</v>
      </c>
      <c r="S16" s="57">
        <f t="shared" si="1"/>
        <v>15</v>
      </c>
      <c r="T16" s="57">
        <f t="shared" si="1"/>
        <v>528</v>
      </c>
      <c r="U16" s="57">
        <f t="shared" si="1"/>
        <v>0</v>
      </c>
      <c r="V16" s="57">
        <f t="shared" si="1"/>
        <v>0</v>
      </c>
      <c r="W16" s="57">
        <f t="shared" si="1"/>
        <v>0</v>
      </c>
      <c r="X16" s="57">
        <f t="shared" si="1"/>
        <v>450</v>
      </c>
      <c r="Y16" s="57">
        <f t="shared" si="1"/>
        <v>15</v>
      </c>
      <c r="Z16" s="57">
        <f t="shared" si="1"/>
        <v>0</v>
      </c>
      <c r="AA16" s="57">
        <f t="shared" si="1"/>
        <v>0</v>
      </c>
      <c r="AB16" s="57">
        <f t="shared" si="1"/>
        <v>0</v>
      </c>
      <c r="AC16" s="153">
        <f t="shared" si="1"/>
        <v>0</v>
      </c>
      <c r="AD16" s="154"/>
      <c r="BV16" s="172" t="s">
        <v>157</v>
      </c>
      <c r="BW16" s="170"/>
      <c r="BX16" s="170"/>
      <c r="BY16" s="170"/>
      <c r="BZ16" s="170"/>
      <c r="CA16" s="171"/>
    </row>
    <row r="17" spans="10:105" ht="13.5" thickTop="1">
      <c r="J17" s="144" t="s">
        <v>247</v>
      </c>
      <c r="K17" s="139">
        <f>SUMIF(Sección_fase,K14,Long_tri_Cu)</f>
        <v>0</v>
      </c>
      <c r="L17" s="139">
        <f>SUMIF(Sección_fase,L14,Long_tri_Cu)</f>
        <v>12</v>
      </c>
      <c r="M17" s="139">
        <f aca="true" t="shared" si="2" ref="M17:AC17">SUMIF(Sección_fase,M14,Long_tri_Cu)</f>
        <v>15</v>
      </c>
      <c r="N17" s="139">
        <f t="shared" si="2"/>
        <v>0</v>
      </c>
      <c r="O17" s="139">
        <f t="shared" si="2"/>
        <v>170</v>
      </c>
      <c r="P17" s="139">
        <f t="shared" si="2"/>
        <v>0</v>
      </c>
      <c r="Q17" s="139">
        <f t="shared" si="2"/>
        <v>0</v>
      </c>
      <c r="R17" s="139">
        <f t="shared" si="2"/>
        <v>0</v>
      </c>
      <c r="S17" s="139">
        <f t="shared" si="2"/>
        <v>0</v>
      </c>
      <c r="T17" s="139">
        <f t="shared" si="2"/>
        <v>0</v>
      </c>
      <c r="U17" s="139">
        <f t="shared" si="2"/>
        <v>0</v>
      </c>
      <c r="V17" s="139">
        <f t="shared" si="2"/>
        <v>0</v>
      </c>
      <c r="W17" s="139">
        <f t="shared" si="2"/>
        <v>0</v>
      </c>
      <c r="X17" s="139">
        <f t="shared" si="2"/>
        <v>0</v>
      </c>
      <c r="Y17" s="139">
        <f t="shared" si="2"/>
        <v>0</v>
      </c>
      <c r="Z17" s="139">
        <f t="shared" si="2"/>
        <v>0</v>
      </c>
      <c r="AA17" s="139">
        <f t="shared" si="2"/>
        <v>0</v>
      </c>
      <c r="AB17" s="139">
        <f t="shared" si="2"/>
        <v>0</v>
      </c>
      <c r="AC17" s="139">
        <f t="shared" si="2"/>
        <v>0</v>
      </c>
      <c r="AD17" s="155" t="s">
        <v>257</v>
      </c>
      <c r="AE17" s="100"/>
      <c r="AF17" s="42" t="s">
        <v>130</v>
      </c>
      <c r="AG17" s="47"/>
      <c r="AH17" s="47"/>
      <c r="AI17" s="98"/>
      <c r="AJ17" s="267" t="s">
        <v>296</v>
      </c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10"/>
      <c r="AV17" s="271" t="s">
        <v>178</v>
      </c>
      <c r="AW17" s="272"/>
      <c r="AX17" s="272"/>
      <c r="AY17" s="272"/>
      <c r="AZ17" s="272"/>
      <c r="BA17" s="272"/>
      <c r="BB17" s="272"/>
      <c r="BC17" s="272"/>
      <c r="BD17" s="273"/>
      <c r="BE17" s="121"/>
      <c r="BF17" s="123" t="s">
        <v>189</v>
      </c>
      <c r="BG17" s="122"/>
      <c r="BH17" s="121"/>
      <c r="BI17" s="179"/>
      <c r="BJ17" s="122"/>
      <c r="BK17" s="86"/>
      <c r="BL17" s="124"/>
      <c r="BM17" s="87" t="s">
        <v>131</v>
      </c>
      <c r="BN17" s="88"/>
      <c r="BO17" s="161"/>
      <c r="BP17" s="161"/>
      <c r="BQ17" s="161"/>
      <c r="BR17" s="162" t="s">
        <v>266</v>
      </c>
      <c r="BS17" s="161"/>
      <c r="BT17" s="161"/>
      <c r="BU17" s="161"/>
      <c r="BV17" s="92"/>
      <c r="BW17" s="93"/>
      <c r="BX17" s="94" t="s">
        <v>201</v>
      </c>
      <c r="BY17" s="93"/>
      <c r="BZ17" s="93"/>
      <c r="CA17" s="168"/>
      <c r="CC17" s="42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 t="s">
        <v>156</v>
      </c>
      <c r="CT17" s="47"/>
      <c r="CU17" s="47"/>
      <c r="CV17" s="47"/>
      <c r="CW17" s="47"/>
      <c r="CX17" s="47"/>
      <c r="CY17" s="47"/>
      <c r="CZ17" s="47"/>
      <c r="DA17" s="98"/>
    </row>
    <row r="18" spans="10:105" ht="13.5" thickBot="1">
      <c r="J18" s="145" t="s">
        <v>244</v>
      </c>
      <c r="K18" s="152">
        <f>SUMIF(Sección_fase,K14,Long_tri_Al)</f>
        <v>0</v>
      </c>
      <c r="L18" s="152">
        <f>SUMIF(Sección_fase,L14,Long_tri_Al)</f>
        <v>0</v>
      </c>
      <c r="M18" s="152">
        <f aca="true" t="shared" si="3" ref="M18:AC18">SUMIF(Sección_fase,M14,Long_tri_Al)</f>
        <v>0</v>
      </c>
      <c r="N18" s="152">
        <f t="shared" si="3"/>
        <v>0</v>
      </c>
      <c r="O18" s="152">
        <f t="shared" si="3"/>
        <v>0</v>
      </c>
      <c r="P18" s="152">
        <f t="shared" si="3"/>
        <v>0</v>
      </c>
      <c r="Q18" s="152">
        <f t="shared" si="3"/>
        <v>0</v>
      </c>
      <c r="R18" s="152">
        <f t="shared" si="3"/>
        <v>0</v>
      </c>
      <c r="S18" s="152">
        <f t="shared" si="3"/>
        <v>0</v>
      </c>
      <c r="T18" s="152">
        <f t="shared" si="3"/>
        <v>0</v>
      </c>
      <c r="U18" s="152">
        <f t="shared" si="3"/>
        <v>0</v>
      </c>
      <c r="V18" s="152">
        <f t="shared" si="3"/>
        <v>0</v>
      </c>
      <c r="W18" s="152">
        <f t="shared" si="3"/>
        <v>0</v>
      </c>
      <c r="X18" s="152">
        <f t="shared" si="3"/>
        <v>0</v>
      </c>
      <c r="Y18" s="152">
        <f t="shared" si="3"/>
        <v>0</v>
      </c>
      <c r="Z18" s="152">
        <f t="shared" si="3"/>
        <v>0</v>
      </c>
      <c r="AA18" s="152">
        <f t="shared" si="3"/>
        <v>0</v>
      </c>
      <c r="AB18" s="152">
        <f t="shared" si="3"/>
        <v>0</v>
      </c>
      <c r="AC18" s="152">
        <f t="shared" si="3"/>
        <v>0</v>
      </c>
      <c r="AD18" s="156" t="s">
        <v>135</v>
      </c>
      <c r="AE18" s="101"/>
      <c r="AF18" s="44"/>
      <c r="AG18" s="45"/>
      <c r="AH18" s="14" t="s">
        <v>254</v>
      </c>
      <c r="AI18" s="99"/>
      <c r="AJ18" s="269" t="s">
        <v>262</v>
      </c>
      <c r="AK18" s="270"/>
      <c r="AL18" s="58"/>
      <c r="AM18" s="269" t="s">
        <v>263</v>
      </c>
      <c r="AN18" s="270"/>
      <c r="AO18" s="11"/>
      <c r="AP18" s="269" t="s">
        <v>264</v>
      </c>
      <c r="AQ18" s="270"/>
      <c r="AR18" s="11"/>
      <c r="AS18" s="266" t="s">
        <v>165</v>
      </c>
      <c r="AT18" s="269"/>
      <c r="AU18" s="11"/>
      <c r="AV18" s="274" t="s">
        <v>179</v>
      </c>
      <c r="AW18" s="266"/>
      <c r="AX18" s="266" t="s">
        <v>273</v>
      </c>
      <c r="AY18" s="266"/>
      <c r="AZ18" s="266" t="s">
        <v>274</v>
      </c>
      <c r="BA18" s="269"/>
      <c r="BB18" s="266" t="s">
        <v>275</v>
      </c>
      <c r="BC18" s="266"/>
      <c r="BD18" s="266"/>
      <c r="BE18" s="266" t="s">
        <v>275</v>
      </c>
      <c r="BF18" s="266"/>
      <c r="BG18" s="269"/>
      <c r="BH18" s="130"/>
      <c r="BI18" s="131" t="s">
        <v>215</v>
      </c>
      <c r="BJ18" s="180"/>
      <c r="BK18" s="89"/>
      <c r="BL18" s="125"/>
      <c r="BM18" s="90" t="s">
        <v>132</v>
      </c>
      <c r="BN18" s="91"/>
      <c r="BO18" s="163"/>
      <c r="BP18" s="164" t="s">
        <v>133</v>
      </c>
      <c r="BQ18" s="165"/>
      <c r="BR18" s="164" t="s">
        <v>0</v>
      </c>
      <c r="BS18" s="165"/>
      <c r="BT18" s="164" t="s">
        <v>265</v>
      </c>
      <c r="BU18" s="165"/>
      <c r="BV18" s="95"/>
      <c r="BW18" s="96" t="s">
        <v>155</v>
      </c>
      <c r="BX18" s="92"/>
      <c r="BY18" s="97" t="s">
        <v>154</v>
      </c>
      <c r="BZ18" s="167" t="s">
        <v>248</v>
      </c>
      <c r="CA18" s="169"/>
      <c r="CC18" s="51"/>
      <c r="CD18" s="52"/>
      <c r="CE18" s="52" t="s">
        <v>73</v>
      </c>
      <c r="CF18" s="52"/>
      <c r="CG18" s="52"/>
      <c r="CH18" s="52"/>
      <c r="CI18" s="105"/>
      <c r="CJ18" s="51"/>
      <c r="CK18" s="52" t="s">
        <v>74</v>
      </c>
      <c r="CL18" s="52"/>
      <c r="CM18" s="105"/>
      <c r="CN18" s="194" t="s">
        <v>75</v>
      </c>
      <c r="CO18" s="51"/>
      <c r="CP18" s="52" t="s">
        <v>73</v>
      </c>
      <c r="CQ18" s="105"/>
      <c r="CR18" s="52"/>
      <c r="CS18" s="52"/>
      <c r="CT18" s="52"/>
      <c r="CU18" s="52"/>
      <c r="CV18" s="52" t="s">
        <v>266</v>
      </c>
      <c r="CW18" s="52"/>
      <c r="CX18" s="52"/>
      <c r="CY18" s="52"/>
      <c r="CZ18" s="105"/>
      <c r="DA18" s="194" t="s">
        <v>76</v>
      </c>
    </row>
    <row r="19" spans="1:105" ht="13.5" thickTop="1">
      <c r="A19" s="59" t="s">
        <v>340</v>
      </c>
      <c r="B19" s="59" t="s">
        <v>341</v>
      </c>
      <c r="C19" s="59" t="s">
        <v>258</v>
      </c>
      <c r="D19" s="59" t="s">
        <v>302</v>
      </c>
      <c r="E19" s="59" t="s">
        <v>222</v>
      </c>
      <c r="F19" s="59" t="s">
        <v>259</v>
      </c>
      <c r="G19" s="59" t="s">
        <v>203</v>
      </c>
      <c r="H19" s="59" t="s">
        <v>204</v>
      </c>
      <c r="I19" s="59" t="s">
        <v>205</v>
      </c>
      <c r="J19" s="140" t="s">
        <v>199</v>
      </c>
      <c r="K19" s="140" t="s">
        <v>334</v>
      </c>
      <c r="L19" s="140" t="s">
        <v>225</v>
      </c>
      <c r="M19" s="140" t="s">
        <v>200</v>
      </c>
      <c r="N19" s="140" t="s">
        <v>202</v>
      </c>
      <c r="O19" s="140" t="s">
        <v>250</v>
      </c>
      <c r="P19" s="140" t="s">
        <v>316</v>
      </c>
      <c r="Q19" s="140" t="s">
        <v>220</v>
      </c>
      <c r="R19" s="140" t="s">
        <v>221</v>
      </c>
      <c r="S19" s="140" t="s">
        <v>252</v>
      </c>
      <c r="T19" s="140" t="s">
        <v>187</v>
      </c>
      <c r="U19" s="186" t="s">
        <v>227</v>
      </c>
      <c r="V19" s="186" t="s">
        <v>228</v>
      </c>
      <c r="W19" s="186" t="s">
        <v>224</v>
      </c>
      <c r="X19" s="187" t="s">
        <v>342</v>
      </c>
      <c r="Y19" s="187" t="s">
        <v>343</v>
      </c>
      <c r="Z19" s="187" t="s">
        <v>344</v>
      </c>
      <c r="AA19" s="187" t="s">
        <v>345</v>
      </c>
      <c r="AB19" s="187" t="s">
        <v>346</v>
      </c>
      <c r="AC19" s="187" t="s">
        <v>347</v>
      </c>
      <c r="AD19" s="24" t="s">
        <v>253</v>
      </c>
      <c r="AE19" s="24" t="s">
        <v>195</v>
      </c>
      <c r="AF19" s="59" t="s">
        <v>70</v>
      </c>
      <c r="AG19" s="126" t="s">
        <v>68</v>
      </c>
      <c r="AH19" s="59" t="s">
        <v>67</v>
      </c>
      <c r="AI19" s="59" t="s">
        <v>69</v>
      </c>
      <c r="AJ19" s="24" t="s">
        <v>166</v>
      </c>
      <c r="AK19" s="24" t="s">
        <v>167</v>
      </c>
      <c r="AL19" s="24" t="s">
        <v>168</v>
      </c>
      <c r="AM19" s="24" t="s">
        <v>169</v>
      </c>
      <c r="AN19" s="24" t="s">
        <v>170</v>
      </c>
      <c r="AO19" s="24" t="s">
        <v>171</v>
      </c>
      <c r="AP19" s="24" t="s">
        <v>172</v>
      </c>
      <c r="AQ19" s="24" t="s">
        <v>173</v>
      </c>
      <c r="AR19" s="24" t="s">
        <v>174</v>
      </c>
      <c r="AS19" s="24" t="s">
        <v>175</v>
      </c>
      <c r="AT19" s="24" t="s">
        <v>176</v>
      </c>
      <c r="AU19" s="24" t="s">
        <v>177</v>
      </c>
      <c r="AV19" s="24" t="s">
        <v>276</v>
      </c>
      <c r="AW19" s="24" t="s">
        <v>312</v>
      </c>
      <c r="AX19" s="24" t="s">
        <v>313</v>
      </c>
      <c r="AY19" s="24" t="s">
        <v>314</v>
      </c>
      <c r="AZ19" s="24" t="s">
        <v>315</v>
      </c>
      <c r="BA19" s="24" t="s">
        <v>188</v>
      </c>
      <c r="BB19" s="24" t="s">
        <v>293</v>
      </c>
      <c r="BC19" s="24" t="s">
        <v>294</v>
      </c>
      <c r="BD19" s="24" t="s">
        <v>295</v>
      </c>
      <c r="BE19" s="24" t="s">
        <v>323</v>
      </c>
      <c r="BF19" s="24" t="s">
        <v>324</v>
      </c>
      <c r="BG19" s="24" t="s">
        <v>325</v>
      </c>
      <c r="BH19" s="18" t="s">
        <v>158</v>
      </c>
      <c r="BI19" s="18" t="s">
        <v>159</v>
      </c>
      <c r="BJ19" s="18" t="s">
        <v>160</v>
      </c>
      <c r="BK19" s="18" t="s">
        <v>281</v>
      </c>
      <c r="BL19" s="24" t="s">
        <v>229</v>
      </c>
      <c r="BM19" s="59" t="s">
        <v>283</v>
      </c>
      <c r="BN19" s="59" t="s">
        <v>69</v>
      </c>
      <c r="BO19" s="59" t="s">
        <v>230</v>
      </c>
      <c r="BP19" s="59" t="s">
        <v>234</v>
      </c>
      <c r="BQ19" s="59" t="s">
        <v>235</v>
      </c>
      <c r="BR19" s="59" t="s">
        <v>236</v>
      </c>
      <c r="BS19" s="59" t="s">
        <v>237</v>
      </c>
      <c r="BT19" s="59" t="s">
        <v>238</v>
      </c>
      <c r="BU19" s="59" t="s">
        <v>239</v>
      </c>
      <c r="BV19" s="59" t="s">
        <v>208</v>
      </c>
      <c r="BW19" s="26" t="s">
        <v>209</v>
      </c>
      <c r="BX19" s="59" t="s">
        <v>207</v>
      </c>
      <c r="BY19" s="59" t="s">
        <v>284</v>
      </c>
      <c r="BZ19" s="19" t="s">
        <v>152</v>
      </c>
      <c r="CA19" s="166" t="s">
        <v>249</v>
      </c>
      <c r="CB19" s="85"/>
      <c r="CC19" s="59" t="s">
        <v>223</v>
      </c>
      <c r="CD19" s="59" t="s">
        <v>184</v>
      </c>
      <c r="CE19" s="59" t="s">
        <v>185</v>
      </c>
      <c r="CF19" s="59" t="s">
        <v>186</v>
      </c>
      <c r="CG19" s="59" t="s">
        <v>181</v>
      </c>
      <c r="CH19" s="59" t="s">
        <v>182</v>
      </c>
      <c r="CI19" s="59" t="s">
        <v>183</v>
      </c>
      <c r="CJ19" s="59" t="s">
        <v>242</v>
      </c>
      <c r="CK19" s="59" t="s">
        <v>243</v>
      </c>
      <c r="CL19" s="59" t="s">
        <v>140</v>
      </c>
      <c r="CM19" s="59" t="s">
        <v>141</v>
      </c>
      <c r="CN19" s="59" t="s">
        <v>282</v>
      </c>
      <c r="CO19" s="59" t="s">
        <v>211</v>
      </c>
      <c r="CP19" s="59" t="s">
        <v>212</v>
      </c>
      <c r="CQ19" s="59" t="s">
        <v>213</v>
      </c>
      <c r="CR19" s="59" t="s">
        <v>278</v>
      </c>
      <c r="CS19" s="59" t="s">
        <v>279</v>
      </c>
      <c r="CT19" s="59" t="s">
        <v>280</v>
      </c>
      <c r="CU19" s="59" t="s">
        <v>240</v>
      </c>
      <c r="CV19" s="59" t="s">
        <v>270</v>
      </c>
      <c r="CW19" s="59" t="s">
        <v>261</v>
      </c>
      <c r="CX19" s="59" t="s">
        <v>231</v>
      </c>
      <c r="CY19" s="59" t="s">
        <v>232</v>
      </c>
      <c r="CZ19" s="59" t="s">
        <v>233</v>
      </c>
      <c r="DA19" s="59" t="s">
        <v>297</v>
      </c>
    </row>
    <row r="20" spans="1:105" ht="12.75">
      <c r="A20" s="60" t="s">
        <v>9</v>
      </c>
      <c r="B20" s="60" t="s">
        <v>10</v>
      </c>
      <c r="C20" s="60">
        <v>5</v>
      </c>
      <c r="D20" s="60"/>
      <c r="E20" s="60"/>
      <c r="F20" s="60"/>
      <c r="G20" s="60"/>
      <c r="H20" s="119" t="s">
        <v>11</v>
      </c>
      <c r="I20" s="60">
        <v>0.9</v>
      </c>
      <c r="J20" s="60" t="s">
        <v>291</v>
      </c>
      <c r="K20" s="60">
        <v>240</v>
      </c>
      <c r="L20" s="60">
        <v>420</v>
      </c>
      <c r="M20" s="60" t="s">
        <v>291</v>
      </c>
      <c r="N20" s="61">
        <v>120</v>
      </c>
      <c r="O20" s="60">
        <v>260</v>
      </c>
      <c r="P20" s="60" t="s">
        <v>139</v>
      </c>
      <c r="Q20" s="119"/>
      <c r="R20" s="119"/>
      <c r="S20" s="119">
        <v>45</v>
      </c>
      <c r="T20" s="119">
        <v>0.95</v>
      </c>
      <c r="U20" s="66">
        <f aca="true" t="shared" si="4" ref="U20:U27">IF(A20="","",1.02*C20/K20*SUMIF(Tipo_cable,J20,Resis_20_C))</f>
        <v>0.0006162499999999999</v>
      </c>
      <c r="V20" s="66">
        <f>IF(A20="","",IF($D$9="Sí",0,IF(N20="","",1.02*C20/N20*SUMIF(Tipo_cable,M20,Resis_20_C))))</f>
        <v>0.0012324999999999999</v>
      </c>
      <c r="W20" s="67">
        <f>IF(A20="","",IF(D20="",0,IF(D20="RST",IF(G20="Alum. des.",1.8*E20/SQRT(3)/$D$5,E20/SQRT(3)/$D$5/F20),IF(G20="Alum. des.",1.8*E20/$D$6,E20/$D$6/F20))))</f>
        <v>0</v>
      </c>
      <c r="X20" s="66">
        <f>IF(A20="","",IF($D$3="Sí",U20*(1+SUMIF(Tipo_cable,J20,alfa)*(IF(S20="",SUMIF(Tipo_cable,J20,Tem_amb),S20)*(1-(AL20/AD20)^2)+(AL20/AD20)^2*SUMIF(Tipo_cable,J20,Tem_máx)-20)),U20))</f>
        <v>0.0007527513541281063</v>
      </c>
      <c r="Y20" s="66">
        <f>IF(A20="","",IF($D$3="Sí",U20*(1+SUMIF(Tipo_cable,J20,alfa)*(IF(S20="",SUMIF(Tipo_cable,J20,Tem_amb),S20)*(1-(AO20/AD20)^2)+(AO20/AD20)^2*SUMIF(Tipo_cable,J20,Tem_máx)-20)),U20))</f>
        <v>0.0007568500323071414</v>
      </c>
      <c r="Z20" s="66">
        <f>IF(A20="","",IF($D$3="Sí",U20*(1+SUMIF(Tipo_cable,J20,alfa)*(IF(S20="",SUMIF(Tipo_cable,J20,Tem_amb),S20)*(1-(AR20/AD20)^2)+(AR20/AD20)^2*SUMIF(Tipo_cable,J20,Tem_máx)-20)),U20))</f>
        <v>0.0007308739778052241</v>
      </c>
      <c r="AA20" s="66">
        <f>IF(A20="","",IF($D$3="Sí",V20*(1+SUMIF(Tipo_cable,M20,alfa)*(IF(S20="",SUMIF(Tipo_cable,M20,Tem_amb),S20)*(1-(AU20/AD20)^2)+(AU20/AD20)^2*SUMIF(Tipo_cable,M20,Tem_máx)-20)),V20))</f>
        <v>0.0013612958845776136</v>
      </c>
      <c r="AB20" s="66">
        <f>IF(A20="","",IF($D$4="Sí",0,IF(Q20="",IF(P20="","",IF(OR(P20="Unipolar/Cu",P20="Unipolar/Al"),U20*SUMIF(Sección,K20,React_unipo),U20*SUMIF(Sección,K20,React_tripo))),Q20*C20)))</f>
        <v>0.0007456624999999999</v>
      </c>
      <c r="AC20" s="66">
        <f>IF(A20="","",IF($D$4="Sí",0,IF(R20="",IF(P20="","",$D$8/100*IF(OR(P20="Unipolar/Al",P20="Unipolar/Cu"),V20*SUMIF(Sección,N20,React_unipo),V20*SUMIF(Sección,N20,React_tripo))),R20*C20)))</f>
        <v>0.00038823749999999994</v>
      </c>
      <c r="AD20" s="55">
        <f>IF(B20="","",L20*IF(S20="",1,SQRT((SUMIF(Tipo_cable,J20,Tem_máx)-S20)/((SUMIF(Tipo_cable,J20,Tem_máx)-(SUMIF(Tipo_cable,J20,Tem_amb))))))*IF(T20="",1,T20))</f>
        <v>378.52463592215497</v>
      </c>
      <c r="AE20" s="67">
        <f>IF(B20="","",MAX(AL20,MAX(AO20,AR20))-CC20+1.25*CC20)</f>
        <v>319.8158569742992</v>
      </c>
      <c r="AF20" s="68">
        <f>IF(B20="","",$D$6-MIN(BB20:BD20))</f>
        <v>0.3788082116228111</v>
      </c>
      <c r="AG20" s="68">
        <f>IF(B20="","",100*AF20/$D$6)</f>
        <v>0.164028767213753</v>
      </c>
      <c r="AH20" s="68">
        <f>IF(B20="","",$D$5-MIN(BE20:BG20))</f>
        <v>0.5467435899543034</v>
      </c>
      <c r="AI20" s="262">
        <f>IF(B20="","",100*AH20/$D$5)</f>
        <v>0.13668589748857585</v>
      </c>
      <c r="AJ20" s="68">
        <f aca="true" t="shared" si="5" ref="AJ20:AJ51">IF($B20="","",I20*IF($G$14="Sí",IF(OR($D20="R",$D20="RST"),IF($D$2="Sí",IF($G20="Motor",$D$6*$W20/(BB20^2),$W20/$D$6)*($AV20*$F20+$AW20*SIN(ACOS($F20))),$W20*$F20))+SUMIF(INICIO,$B20,R_RE),0))</f>
        <v>275.23408744905305</v>
      </c>
      <c r="AK20" s="68">
        <f aca="true" t="shared" si="6" ref="AK20:AK51">IF(B20="","",I20*IF($G$14="Sí",IF(OR($D20="R",$D20="RST"),IF($D$2="Sí",IF($G20="Motor",$D$6*$W20/(BB20^2),$W20/$D$6)*($AW20*$F20-$AV20*SIN(ACOS($F20))),-$W20*SIN(ACOS($F20))))+SUMIF(INICIO,$B20,R_IM),0))</f>
        <v>-140.18140952078392</v>
      </c>
      <c r="AL20" s="263">
        <f>IF(B20="","",SQRT(AJ20^2+AK20^2))</f>
        <v>308.8763999873521</v>
      </c>
      <c r="AM20" s="68">
        <f>IF(B20="","",I20*IF($H$14="Sí",IF(OR($D20="S",$D20="RST"),IF($D$2="Sí",IF($G20="Motor",$D$6*$W20/(BC20^2),$W20/$D$6)*($AX20*$F20+$AY20*SIN(ACOS($F20))),-$W20*$F20/2-SQRT(3)/2*$W20*SIN(ACOS($F20))))+SUMIF(INICIO,$B20,S_RE),0))</f>
        <v>-265.78173467251776</v>
      </c>
      <c r="AN20" s="68">
        <f>IF(B20="","",I20*IF($H$14="Sí",IF(OR($D20="S",$D20="RST"),IF($D$2="Sí",IF($G20="Motor",$D$6*$W20/(BC20^2),$W20/$D$6)*($AY20*$F20-$AX20*SIN(ACOS($F20))),-SQRT(3)/2*$W20*$F20+0.5*$W20*SIN(ACOS($F20))))+SUMIF(INICIO,$B20,S_IM),0))</f>
        <v>-173.26128076630962</v>
      </c>
      <c r="AO20" s="68">
        <f>IF(B20="","",SQRT(AM20^2+AN20^2))</f>
        <v>317.2686588655025</v>
      </c>
      <c r="AP20" s="68">
        <f>IF(B20="","",I20*IF($I$14="Sí",IF(OR($D20="T",$D20="RST"),IF($D$2="Sí",IF($G20="Motor",$D$6*$W20/(BD20^2),$W20/$D$6)*($AZ20*$F20+$BA20*SIN(ACOS($F20))),-$W20*$F20/2+SQRT(3)/2*$W20*SIN(ACOS($F20))))+SUMIF(INICIO,$B20,T_RE),0))</f>
        <v>-13.618892630855884</v>
      </c>
      <c r="AQ20" s="68">
        <f>IF(B20="","",I20*IF($I$14="Sí",IF(OR($D20="T",$D20="RST"),IF($D$2="Sí",IF($G20="Motor",$D$6*$W20/(BD20^2),$W20/$D$6)*($BA20*$F20-$AZ20*SIN(ACOS($F20))),SQRT(3)/2*$W20*$F20+0.5*$W20*SIN(ACOS($F20))))+SUMIF(INICIO,$B20,T_IM),0))</f>
        <v>259.1731342274562</v>
      </c>
      <c r="AR20" s="68">
        <f>IF(B20="","",SQRT(AP20^2+AQ20^2))</f>
        <v>259.5307067415604</v>
      </c>
      <c r="AS20" s="68">
        <f>IF(B20="","",AJ20+AM20+AP20)</f>
        <v>-4.166539854320591</v>
      </c>
      <c r="AT20" s="68">
        <f>IF(B20="","",AK20+AN20+AQ20)</f>
        <v>-54.26955605963735</v>
      </c>
      <c r="AU20" s="68">
        <f>IF(B20="","",SQRT(AS20^2+AT20^2))</f>
        <v>54.42926390525379</v>
      </c>
      <c r="AV20" s="67">
        <f>IF(A20="","",D6-($X20*$AJ20-$AB20*$AK20)-($AA20*$AS20-$AC20*$AT20))</f>
        <v>230.61299924032997</v>
      </c>
      <c r="AW20" s="67">
        <f>IF(A20="","",0-($X20*$AK20+$AB20*$AJ20)-($AA20*$AT20+$AC20*$AS20))</f>
        <v>-0.024215461553592568</v>
      </c>
      <c r="AX20" s="67">
        <f>IF(A20="","",-$D$6/2-($Y20*$AM20-$AB20*$AN20)-($AA20*$AS20-$AC20*$AT20))</f>
        <v>-115.41348894643511</v>
      </c>
      <c r="AY20" s="67">
        <f>IF(A20="","",-SQRT(3)*$D$6/2-($Y20*$AN20+$AB20*$AM20)-($AA20*$AT20+$AC20*$AS20))</f>
        <v>-199.59518919098568</v>
      </c>
      <c r="AZ20" s="67">
        <f>IF(A20="","",-$D$6/2-($Z20*$AP20-$AB20*$AQ20)-($AA20*$AS20-$AC20*$AT20))</f>
        <v>-115.28224203970795</v>
      </c>
      <c r="BA20" s="67">
        <f>IF(A20="","",SQRT(3)*$D$6/2-($Z20*$AQ20+$AB20*$AP20)-($AA20*$AT20+$AC20*$AS20))</f>
        <v>199.8962267283118</v>
      </c>
      <c r="BB20" s="67">
        <f>IF(B20="","",SQRT(AV20^2+AW20^2))</f>
        <v>230.61300051169928</v>
      </c>
      <c r="BC20" s="67">
        <f>IF(B20="","",SQRT(AX20^2+AY20^2))</f>
        <v>230.56129982929542</v>
      </c>
      <c r="BD20" s="67">
        <f>IF(B20="","",SQRT(AZ20^2+BA20^2))</f>
        <v>230.7563580704082</v>
      </c>
      <c r="BE20" s="67">
        <f>IF(B20="","",SQRT((AV20-AX20)^2+(AW20-AY20)^2))</f>
        <v>399.4532564420762</v>
      </c>
      <c r="BF20" s="67">
        <f>IF(B20="","",SQRT((AX20-AZ20)^2+(AY20-BA20)^2))</f>
        <v>399.49143747889724</v>
      </c>
      <c r="BG20" s="67">
        <f>IF(B20="","",SQRT((AZ20-AV20)^2+(BA20-AW20)^2))</f>
        <v>399.51433158970275</v>
      </c>
      <c r="BH20" s="67">
        <f>IF(B20="","",100*($D$6-BB20)/$D$6)</f>
        <v>0.1416415569573455</v>
      </c>
      <c r="BI20" s="67">
        <f>IF(B20="","",100*($D$6-BC20)/$D$6)</f>
        <v>0.16402860913471318</v>
      </c>
      <c r="BJ20" s="67">
        <f>IF(B20="","",100*($D$6-BD20)/$D$6)</f>
        <v>0.07956591312412631</v>
      </c>
      <c r="BK20" s="68">
        <f>IF(B20="","",I20*(W20+SUMIF(INICIO,$B20,I_tramo)))</f>
        <v>711.4831628377049</v>
      </c>
      <c r="BL20" s="40">
        <f>IF(B20="","",BK20-CC20+1.25*CC20)</f>
        <v>714.0302963782474</v>
      </c>
      <c r="BM20" s="69">
        <f>IF(A20="","",$D$5-SQRT(3)*U20*CN20)</f>
        <v>399.32209818234065</v>
      </c>
      <c r="BN20" s="68">
        <f>IF(B20="","",100*($D$5-BM20)/$D$5)</f>
        <v>0.1694754544148367</v>
      </c>
      <c r="BO20" s="68">
        <f aca="true" t="shared" si="7" ref="BO20:BO52">IF(B20="","",MAX(CR20:CT20)-CC20+1.25*CC20)</f>
        <v>331.0610672994277</v>
      </c>
      <c r="BP20" s="68">
        <f>IF(A20="","",$D$5-SQRT(3)*U20*CX20)</f>
        <v>399.7000500091938</v>
      </c>
      <c r="BQ20" s="68">
        <f>IF(B20="","",100*($D$5-BP20)/$D$5)</f>
        <v>0.07498749770155655</v>
      </c>
      <c r="BR20" s="68">
        <f>IF(A20="","",$D$5-SQRT(3)*U20*CY20)</f>
        <v>399.6868318742172</v>
      </c>
      <c r="BS20" s="68">
        <f>IF(B20="","",100*($D$5-BR20)/$D$5)</f>
        <v>0.07829203144569874</v>
      </c>
      <c r="BT20" s="68">
        <f>IF(A20="","",$D$5-SQRT(3)*U20*CZ20)</f>
        <v>399.7488622989297</v>
      </c>
      <c r="BU20" s="68">
        <f>IF(B20="","",100*($D$5-BT20)/$D$5)</f>
        <v>0.06278442526757999</v>
      </c>
      <c r="BV20" s="70">
        <f>IF(B20="","",U20+SUMIF(FINAL,$A20,R_FINAL))</f>
        <v>0.0006162499999999999</v>
      </c>
      <c r="BW20" s="70">
        <f>IF(B20="","",AB20+SUMIF(FINAL,$A20,X_FINAL))</f>
        <v>0.0007456624999999999</v>
      </c>
      <c r="BX20" s="68">
        <f aca="true" t="shared" si="8" ref="BX20:BX52">IF(B20="","",$D$6/SQRT((BV20-U20)^2+(BW20-AB20+$S$12)^2)/1000)</f>
        <v>7.216878364870323</v>
      </c>
      <c r="BY20" s="68">
        <f>IF(B20="","",SUMIF(Tipo_cable,J20,Constante_k)*K20/SQRT(IF(BZ20="",0.7,BZ20))/1000)</f>
        <v>26.96435742658392</v>
      </c>
      <c r="BZ20" s="60"/>
      <c r="CA20" s="67">
        <f>IF(B20="","",(SUMIF(Tipo_cable,J20,Constante_k)*K20/(BX20*1000))^2)</f>
        <v>9.771909119999998</v>
      </c>
      <c r="CB20"/>
      <c r="CC20" s="67">
        <f>IF(FINAL="","",SUMIF(FINAL,$H20,I_nom_A))</f>
        <v>10.188534162169868</v>
      </c>
      <c r="CD20" s="67">
        <f>IF(A20="","",IF(OR($D20="R",$D20="RST"),1,0))</f>
        <v>0</v>
      </c>
      <c r="CE20" s="67">
        <f>IF(A20="","",IF(OR($D20="S",$D20="RST"),1,0))</f>
        <v>0</v>
      </c>
      <c r="CF20" s="67">
        <f>IF(A20="","",IF(OR($D20="T",$D20="RST"),1,0))</f>
        <v>0</v>
      </c>
      <c r="CG20" s="67">
        <f>IF(FINAL="","",SUMIF(FINAL,$H20,I_nom_A)*SUMIF(FINAL,$H20,FASE_R))</f>
        <v>10.188534162169868</v>
      </c>
      <c r="CH20" s="67">
        <f>IF(FINAL="","",SUMIF(FINAL,$H20,I_nom_A)*SUMIF(FINAL,$H20,FASE_S))</f>
        <v>10.188534162169868</v>
      </c>
      <c r="CI20" s="67">
        <f>IF(FINAL="","",SUMIF(FINAL,$H20,I_nom_A)*SUMIF(FINAL,$H20,FASE_T))</f>
        <v>10.188534162169868</v>
      </c>
      <c r="CJ20" s="71">
        <f>IF(B20="","",C20*IF(P20="Unipolar/Cu",3,0))</f>
        <v>0</v>
      </c>
      <c r="CK20" s="71">
        <f>IF(B20="","",C20*IF(P20="Unipolar/Al",3,0))</f>
        <v>15</v>
      </c>
      <c r="CL20" s="71">
        <f>IF(B20="","",C20*IF(P20="Tripolar/Cu",1,0))</f>
        <v>0</v>
      </c>
      <c r="CM20" s="71">
        <f>IF(B20="","",C20*IF(P20="Tripolar/Al",1,0))</f>
        <v>0</v>
      </c>
      <c r="CN20" s="68">
        <f aca="true" t="shared" si="9" ref="CN20:CN52">IF(B20="","",I20*(W20*F20+SUMIF(INICIO,$B20,I_cosfi)))</f>
        <v>635.1104209489278</v>
      </c>
      <c r="CO20" s="40">
        <f>IF(B20="","",AL20-CG20+1.25*CG20)</f>
        <v>311.4235335278946</v>
      </c>
      <c r="CP20" s="40">
        <f>IF(B20="","",AO20-CH20+1.25*CH20)</f>
        <v>319.81579240604503</v>
      </c>
      <c r="CQ20" s="40">
        <f>IF(B20="","",AR20-CI20+1.25*CI20)</f>
        <v>262.07784028210284</v>
      </c>
      <c r="CR20" s="68">
        <f aca="true" t="shared" si="10" ref="CR20:CR25">IF($B20="","",I20*IF($G$14="Sí",IF(OR($D20="R",$D20="RST"),$W20)+SUMIF(INICIO,$B20,I_tramoR),0))</f>
        <v>317.0924659742497</v>
      </c>
      <c r="CS20" s="68">
        <f aca="true" t="shared" si="11" ref="CS20:CS25">IF($B20="","",I20*IF($H$14="Sí",IF(OR($D20="S",$D20="RST"),$W20)+SUMIF(INICIO,$B20,I_tramoS),0))</f>
        <v>328.51393375888523</v>
      </c>
      <c r="CT20" s="68">
        <f>IF($B20="","",I20*IF($I$14="Sí",IF(OR($D20="T",$D20="RST"),$W20)+SUMIF(INICIO,$B20,I_tramoT),0))</f>
        <v>263.9418672171522</v>
      </c>
      <c r="CU20" s="68">
        <f>IF(B20="","",CR20-CG20+1.25*CG20)</f>
        <v>319.63959951479217</v>
      </c>
      <c r="CV20" s="68">
        <f>IF(B20="","",CS20-CH20+1.25*CH20)</f>
        <v>331.0610672994277</v>
      </c>
      <c r="CW20" s="68">
        <f>IF(B20="","",CT20-CI20+1.25*CI20)</f>
        <v>266.48900075769467</v>
      </c>
      <c r="CX20" s="68">
        <f aca="true" t="shared" si="12" ref="CX20:CX25">IF($B20="","",I20*IF($G$14="Sí",IF(OR($D20="R",$D20="RST"),$W20*F20)+SUMIF(INICIO,$B20,IR_cosfi),0))</f>
        <v>281.01615892156457</v>
      </c>
      <c r="CY20" s="68">
        <f aca="true" t="shared" si="13" ref="CY20:CY25">IF($B20="","",I20*IF($H$14="Sí",IF(OR($D20="S",$D20="RST"),$W20*F20)+SUMIF(INICIO,$B20,IS_cosfi),0))</f>
        <v>293.39992165893284</v>
      </c>
      <c r="CZ20" s="68">
        <f>IF($B20="","",I20*IF($I$14="Sí",IF(OR($D20="T",$D20="RST"),$W20*F20)+SUMIF(INICIO,$B20,IT_cosfi),0))</f>
        <v>235.2850617713731</v>
      </c>
      <c r="DA20" s="40">
        <f>IF($X20="","",X20*AL20^2+Y20*AO20^2+Z20*AR20^2)</f>
        <v>197.22892121912443</v>
      </c>
    </row>
    <row r="21" spans="1:105" ht="12.75">
      <c r="A21" s="61" t="s">
        <v>10</v>
      </c>
      <c r="B21" s="61" t="s">
        <v>12</v>
      </c>
      <c r="C21" s="61">
        <v>50</v>
      </c>
      <c r="D21" s="61"/>
      <c r="E21" s="61"/>
      <c r="F21" s="61"/>
      <c r="G21" s="61"/>
      <c r="H21" s="120" t="s">
        <v>11</v>
      </c>
      <c r="I21" s="61">
        <v>1</v>
      </c>
      <c r="J21" s="61" t="s">
        <v>292</v>
      </c>
      <c r="K21" s="61">
        <v>185</v>
      </c>
      <c r="L21" s="61">
        <v>375</v>
      </c>
      <c r="M21" s="61" t="s">
        <v>292</v>
      </c>
      <c r="N21" s="61">
        <v>95</v>
      </c>
      <c r="O21" s="61">
        <v>260</v>
      </c>
      <c r="P21" s="61" t="s">
        <v>139</v>
      </c>
      <c r="Q21" s="120"/>
      <c r="R21" s="120"/>
      <c r="S21" s="120"/>
      <c r="T21" s="120">
        <v>0.8</v>
      </c>
      <c r="U21" s="72">
        <f t="shared" si="4"/>
        <v>0.007994594594594595</v>
      </c>
      <c r="V21" s="72">
        <f aca="true" t="shared" si="14" ref="V21:V84">IF(A21="","",IF($D$9="Sí",0,IF(N21="","",1.02*C21/N21*SUMIF(Tipo_cable,M21,Resis_20_C))))</f>
        <v>0.01556842105263158</v>
      </c>
      <c r="W21" s="73">
        <f aca="true" t="shared" si="15" ref="W21:W84">IF(A21="","",IF(D21="",0,IF(D21="RST",IF(G21="Alum. des.",1.8*E21/SQRT(3)/$D$5,E21/SQRT(3)/$D$5/F21),IF(G21="Alum. des.",1.8*E21/$D$6,E21/$D$6/F21))))</f>
        <v>0</v>
      </c>
      <c r="X21" s="72">
        <f aca="true" t="shared" si="16" ref="X21:X84">IF(A21="","",IF($D$3="Sí",U21*(1+SUMIF(Tipo_cable,J21,alfa)*(IF(S21="",SUMIF(Tipo_cable,J21,Tem_amb),S21)*(1-(AL21/AD21)^2)+(AL21/AD21)^2*SUMIF(Tipo_cable,J21,Tem_máx)-20)),U21))</f>
        <v>0.009801821000491371</v>
      </c>
      <c r="Y21" s="72">
        <f aca="true" t="shared" si="17" ref="Y21:Y84">IF(A21="","",IF($D$3="Sí",U21*(1+SUMIF(Tipo_cable,J21,alfa)*(IF(S21="",SUMIF(Tipo_cable,J21,Tem_amb),S21)*(1-(AO21/AD21)^2)+(AO21/AD21)^2*SUMIF(Tipo_cable,J21,Tem_máx)-20)),U21))</f>
        <v>0.00958912743869126</v>
      </c>
      <c r="Z21" s="72">
        <f aca="true" t="shared" si="18" ref="Z21:Z84">IF(A21="","",IF($D$3="Sí",U21*(1+SUMIF(Tipo_cable,J21,alfa)*(IF(S21="",SUMIF(Tipo_cable,J21,Tem_amb),S21)*(1-(AR21/AD21)^2)+(AR21/AD21)^2*SUMIF(Tipo_cable,J21,Tem_máx)-20)),U21))</f>
        <v>0.009288074429180187</v>
      </c>
      <c r="AA21" s="72">
        <f aca="true" t="shared" si="19" ref="AA21:AA84">IF(A21="","",IF($D$3="Sí",V21*(1+SUMIF(Tipo_cable,M21,alfa)*(IF(S21="",SUMIF(Tipo_cable,M21,Tem_amb),S21)*(1-(AU21/AD21)^2)+(AU21/AD21)^2*SUMIF(Tipo_cable,M21,Tem_máx)-20)),V21))</f>
        <v>0.015945224806242823</v>
      </c>
      <c r="AB21" s="72">
        <f aca="true" t="shared" si="20" ref="AB21:AB84">IF(A21="","",IF($D$4="Sí",0,IF(Q21="",IF(P21="","",IF(OR(P21="Unipolar/Cu",P21="Unipolar/Al"),U21*SUMIF(Sección,K21,React_unipo),U21*SUMIF(Sección,K21,React_tripo))),Q21*C21)))</f>
        <v>0.007514918918918919</v>
      </c>
      <c r="AC21" s="72">
        <f aca="true" t="shared" si="21" ref="AC21:AC84">IF(A21="","",IF($D$4="Sí",0,IF(R21="",IF(P21="","",$D$8/100*IF(OR(P21="Unipolar/Al",P21="Unipolar/Cu"),V21*SUMIF(Sección,N21,React_unipo),V21*SUMIF(Sección,N21,React_tripo))),R21*C21)))</f>
        <v>0.003969947368421053</v>
      </c>
      <c r="AD21" s="74">
        <f aca="true" t="shared" si="22" ref="AD21:AD52">IF(L21="","",L21*IF(S21="",1,SQRT((SUMIF(Tipo_cable,J21,Tem_máx)-S21)/((SUMIF(Tipo_cable,J21,Tem_máx)-(SUMIF(Tipo_cable,J21,Tem_amb))))))*IF(T21="",1,T21))</f>
        <v>300</v>
      </c>
      <c r="AE21" s="73">
        <f>IF(B21="","",MAX(AL21,MAX(AO21,AR21))-CC21+1.25*CC21)</f>
        <v>268.5256735883871</v>
      </c>
      <c r="AF21" s="40">
        <f>IF(B21="","",$D$6-MIN(BB21:BD21))</f>
        <v>3.959219393177534</v>
      </c>
      <c r="AG21" s="40">
        <f aca="true" t="shared" si="23" ref="AG21:AG36">IF(B21="","",100*AF21/$D$6)</f>
        <v>1.714392286823877</v>
      </c>
      <c r="AH21" s="40">
        <f aca="true" t="shared" si="24" ref="AH21:AH87">IF(B21="","",$D$5-MIN(BE21:BG21))</f>
        <v>5.930526671057919</v>
      </c>
      <c r="AI21" s="260">
        <f aca="true" t="shared" si="25" ref="AI21:AI87">IF(B21="","",100*AH21/$D$5)</f>
        <v>1.4826316677644797</v>
      </c>
      <c r="AJ21" s="40">
        <f t="shared" si="5"/>
        <v>238.66047752180765</v>
      </c>
      <c r="AK21" s="40">
        <f t="shared" si="6"/>
        <v>-117.412751719338</v>
      </c>
      <c r="AL21" s="261">
        <f aca="true" t="shared" si="26" ref="AL21:AL87">IF(B21="","",SQRT(AJ21^2+AK21^2))</f>
        <v>265.97852882750544</v>
      </c>
      <c r="AM21" s="40">
        <f aca="true" t="shared" si="27" ref="AM21:AM52">IF(B21="","",I21*IF($H$14="Sí",IF(OR($D21="S",$D21="RST"),IF($D$2="Sí",($W21/$D$6)*($AX21*$F21+$AY21*SIN(ACOS($F21))),-$W21*$F21/2-SQRT(3)/2*$W21*SIN(ACOS($F21))))+SUMIF(INICIO,$B21,S_RE),0))</f>
        <v>-207.80609011196142</v>
      </c>
      <c r="AN21" s="40">
        <f aca="true" t="shared" si="28" ref="AN21:AN52">IF(B21="","",I21*IF($H$14="Sí",IF(OR($D21="S",$D21="RST"),IF($D$2="Sí",($W21/$D$6)*($AY21*$F21-$AX21*SIN(ACOS($F21))),-SQRT(3)/2*$W21*$F21+0.5*$W21*SIN(ACOS($F21))))+SUMIF(INICIO,$B21,S_IM),0))</f>
        <v>-135.72202917530103</v>
      </c>
      <c r="AO21" s="40">
        <f aca="true" t="shared" si="29" ref="AO21:AO87">IF(B21="","",SQRT(AM21^2+AN21^2))</f>
        <v>248.20120928609896</v>
      </c>
      <c r="AP21" s="40">
        <f aca="true" t="shared" si="30" ref="AP21:AP52">IF(B21="","",I21*IF($I$14="Sí",IF(OR($D21="T",$D21="RST"),IF($D$2="Sí",($W21/$D$6)*($AZ21*$F21+$BA21*SIN(ACOS($F21))),-$W21*$F21/2+SQRT(3)/2*$W21*SIN(ACOS($F21))))+SUMIF(INICIO,$B21,T_RE),0))</f>
        <v>-13.306159237899177</v>
      </c>
      <c r="AQ21" s="40">
        <f aca="true" t="shared" si="31" ref="AQ21:AQ52">IF(B21="","",I21*IF($I$14="Sí",IF(OR($D21="T",$D21="RST"),IF($D$2="Sí",($W21/$D$6)*($BA21*$F21-$AZ21*SIN(ACOS($F21))),SQRT(3)/2*$W21*$F21+0.5*$W21*SIN(ACOS($F21))))+SUMIF(INICIO,$B21,T_IM),0))</f>
        <v>220.20142688319203</v>
      </c>
      <c r="AR21" s="40">
        <f aca="true" t="shared" si="32" ref="AR21:AR87">IF(B21="","",SQRT(AP21^2+AQ21^2))</f>
        <v>220.60308763718174</v>
      </c>
      <c r="AS21" s="40">
        <f aca="true" t="shared" si="33" ref="AS21:AS87">IF(B21="","",AJ21+AM21+AP21)</f>
        <v>17.54822817194705</v>
      </c>
      <c r="AT21" s="40">
        <f aca="true" t="shared" si="34" ref="AT21:AT87">IF(B21="","",AK21+AN21+AQ21)</f>
        <v>-32.93335401144702</v>
      </c>
      <c r="AU21" s="40">
        <f aca="true" t="shared" si="35" ref="AU21:AU87">IF(B21="","",SQRT(AS21^2+AT21^2))</f>
        <v>37.31683424967892</v>
      </c>
      <c r="AV21" s="73">
        <f>IF(B21="","",SUMIF(FINAL,$A21,ac_R_Re)-($X21*$AJ21-$AB21*$AK21)-($AA21*$AS21-$AC21*$AT21))</f>
        <v>226.98079052530747</v>
      </c>
      <c r="AW21" s="73">
        <f>IF(B21="","",SUMIF(FINAL,$A21,ac_R_Im)-($X21*$AK21+$AB21*$AJ21)-($AA21*$AT21+$AC21*$AS21))</f>
        <v>-0.21140663266793341</v>
      </c>
      <c r="AX21" s="73">
        <f>IF(B21="","",SUMIF(FINAL,$A21,ac_S_Re)-($Y21*$AM21-$AB21*$AN21)-($AA21*$AS21-$AC21*$AT21))</f>
        <v>-114.85130403582285</v>
      </c>
      <c r="AY21" s="73">
        <f>IF(B21="","",SUMIF(FINAL,$A21,ac_S_Im)-($Y21*$AN21+$AB21*$AM21)-($AA21*$AT21+$AC21*$AS21))</f>
        <v>-196.27662324785257</v>
      </c>
      <c r="AZ21" s="73">
        <f>IF(B21="","",SUMIF(FINAL,$A21,ac_T_Re)-($Z21*$AP21-$AB21*$AQ21)-($AA21*$AS21-$AC21*$AT21))</f>
        <v>-113.91441169872634</v>
      </c>
      <c r="BA21" s="73">
        <f>IF(B21="","",SUMIF(FINAL,$A21,ac_T_Im)-($Z21*$AQ21+$AB21*$AP21)-($AA21*$AT21+$AC21*$AS21))</f>
        <v>198.4064383848885</v>
      </c>
      <c r="BB21" s="73">
        <f>IF(B21="","",SQRT(AV21^2+AW21^2))</f>
        <v>226.98088897582952</v>
      </c>
      <c r="BC21" s="73">
        <f>IF(B21="","",SQRT(AX21^2+AY21^2))</f>
        <v>227.41005886351746</v>
      </c>
      <c r="BD21" s="73">
        <f>IF(B21="","",SQRT(AZ21^2+BA21^2))</f>
        <v>228.78288394292846</v>
      </c>
      <c r="BE21" s="73">
        <f aca="true" t="shared" si="36" ref="BE21:BE87">IF(B21="","",SQRT((AV21-AX21)^2+(AW21-AY21)^2))</f>
        <v>394.0694736190673</v>
      </c>
      <c r="BF21" s="73">
        <f aca="true" t="shared" si="37" ref="BF21:BF87">IF(B21="","",SQRT((AX21-AZ21)^2+(AY21-BA21)^2))</f>
        <v>394.68417362119476</v>
      </c>
      <c r="BG21" s="73">
        <f aca="true" t="shared" si="38" ref="BG21:BG87">IF(B21="","",SQRT((AZ21-AV21)^2+(BA21-AW21)^2))</f>
        <v>394.53591377564476</v>
      </c>
      <c r="BH21" s="73">
        <f aca="true" t="shared" si="39" ref="BH21:BH84">IF(B21="","",100*($D$6-BB21)/$D$6)</f>
        <v>1.7143919866782122</v>
      </c>
      <c r="BI21" s="73">
        <f>IF(B21="","",100*($D$6-BC21)/$D$6)</f>
        <v>1.5285559740396735</v>
      </c>
      <c r="BJ21" s="73">
        <f>IF(B21="","",100*($D$6-BD21)/$D$6)</f>
        <v>0.9341052771785154</v>
      </c>
      <c r="BK21" s="40">
        <f>IF(B21="","",I21*(W21+SUMIF(INICIO,$B21,I_tramo)))</f>
        <v>578.5856204663436</v>
      </c>
      <c r="BL21" s="40">
        <f>IF(B21="","",BK21-CC21+1.25*CC21)</f>
        <v>581.1327540068861</v>
      </c>
      <c r="BM21" s="40">
        <f>IF(B21="","",SUMIF(FINAL,$A21,U_FINAL)-SQRT(3)*U21*CN21)</f>
        <v>392.1245001124758</v>
      </c>
      <c r="BN21" s="40">
        <f aca="true" t="shared" si="40" ref="BN21:BN87">IF(B21="","",100*($D$5-BM21)/$D$5)</f>
        <v>1.9688749718810499</v>
      </c>
      <c r="BO21" s="40">
        <f t="shared" si="7"/>
        <v>276.2887807858506</v>
      </c>
      <c r="BP21" s="40">
        <f aca="true" t="shared" si="41" ref="BP21:BP53">IF(B21="","",SUMIF(FINAL,$A21,U_FINAL_R)-SQRT(3)*U21*CX21)</f>
        <v>396.3015210651397</v>
      </c>
      <c r="BQ21" s="40">
        <f aca="true" t="shared" si="42" ref="BQ21:BQ87">IF(B21="","",100*($D$5-BP21)/$D$5)</f>
        <v>0.9246197337150761</v>
      </c>
      <c r="BR21" s="40">
        <f aca="true" t="shared" si="43" ref="BR21:BR53">IF(B21="","",SUMIF(FINAL,$A21,U_FINAL_S)-SQRT(3)*U21*CY21)</f>
        <v>396.50519578185236</v>
      </c>
      <c r="BS21" s="40">
        <f>IF(B21="","",100*($D$5-BR21)/$D$5)</f>
        <v>0.8737010545369088</v>
      </c>
      <c r="BT21" s="40">
        <f aca="true" t="shared" si="44" ref="BT21:BT44">IF(B21="","",SUMIF(FINAL,$A21,U_FINAL_T)-SQRT(3)*U21*CZ21)</f>
        <v>396.9648941303486</v>
      </c>
      <c r="BU21" s="40">
        <f aca="true" t="shared" si="45" ref="BU21:BU87">IF(B21="","",100*($D$5-BT21)/$D$5)</f>
        <v>0.7587764674128437</v>
      </c>
      <c r="BV21" s="75">
        <f aca="true" t="shared" si="46" ref="BV21:BV87">IF(B21="","",U21+SUMIF(FINAL,$A21,R_FINAL))</f>
        <v>0.008610844594594595</v>
      </c>
      <c r="BW21" s="75">
        <f aca="true" t="shared" si="47" ref="BW21:BW87">IF(B21="","",AB21+SUMIF(FINAL,$A21,X_FINAL))</f>
        <v>0.008260581418918918</v>
      </c>
      <c r="BX21" s="40">
        <f t="shared" si="8"/>
        <v>7.051291847326828</v>
      </c>
      <c r="BY21" s="40">
        <f aca="true" t="shared" si="48" ref="BY21:BY52">IF(B21="","",SUMIF(Tipo_cable,J21,Constante_k)*K21/SQRT(IF(BZ21="",0.7,BZ21))/1000)</f>
        <v>20.785025516325106</v>
      </c>
      <c r="BZ21" s="61"/>
      <c r="CA21" s="73">
        <f aca="true" t="shared" si="49" ref="CA21:CA84">IF(B21="","",(SUMIF(Tipo_cable,J21,Constante_k)*K21/(BX21*1000))^2)</f>
        <v>6.082215220795544</v>
      </c>
      <c r="CB21"/>
      <c r="CC21" s="73">
        <f aca="true" t="shared" si="50" ref="CC21:CC79">IF(FINAL="","",SUMIF(FINAL,$H21,I_nom_A))</f>
        <v>10.188534162169868</v>
      </c>
      <c r="CD21" s="73">
        <f aca="true" t="shared" si="51" ref="CD21:CD27">IF(A21="","",IF(OR($D21="R",$D21="RST"),1,0))</f>
        <v>0</v>
      </c>
      <c r="CE21" s="73">
        <f aca="true" t="shared" si="52" ref="CE21:CE27">IF(A21="","",IF(OR($D21="S",$D21="RST"),1,0))</f>
        <v>0</v>
      </c>
      <c r="CF21" s="73">
        <f aca="true" t="shared" si="53" ref="CF21:CF27">IF(A21="","",IF(OR($D21="T",$D21="RST"),1,0))</f>
        <v>0</v>
      </c>
      <c r="CG21" s="73">
        <f aca="true" t="shared" si="54" ref="CG21:CG84">IF(FINAL="","",SUMIF(FINAL,$H21,I_nom_A)*SUMIF(FINAL,$H21,FASE_R))</f>
        <v>10.188534162169868</v>
      </c>
      <c r="CH21" s="73">
        <f aca="true" t="shared" si="55" ref="CH21:CH84">IF(FINAL="","",SUMIF(FINAL,$H21,I_nom_A)*SUMIF(FINAL,$H21,FASE_S))</f>
        <v>10.188534162169868</v>
      </c>
      <c r="CI21" s="73">
        <f aca="true" t="shared" si="56" ref="CI21:CI84">IF(FINAL="","",SUMIF(FINAL,$H21,I_nom_A)*SUMIF(FINAL,$H21,FASE_T))</f>
        <v>10.188534162169868</v>
      </c>
      <c r="CJ21" s="76">
        <f aca="true" t="shared" si="57" ref="CJ21:CJ87">IF(B21="","",C21*IF(P21="Unipolar/Cu",3,0))</f>
        <v>0</v>
      </c>
      <c r="CK21" s="76">
        <f>IF(B21="","",C21*IF(P21="Unipolar/Al",3,0))</f>
        <v>150</v>
      </c>
      <c r="CL21" s="76">
        <f>IF(B21="","",C21*IF(P21="Tripolar/Cu",1,0))</f>
        <v>0</v>
      </c>
      <c r="CM21" s="76">
        <f>IF(B21="","",C21*IF(P21="Tripolar/Al",1,0))</f>
        <v>0</v>
      </c>
      <c r="CN21" s="40">
        <f t="shared" si="9"/>
        <v>519.7931094548437</v>
      </c>
      <c r="CO21" s="40">
        <f aca="true" t="shared" si="58" ref="CO21:CO27">IF(B21="","",AL21-CG21+1.25*CG21)</f>
        <v>268.5256623680479</v>
      </c>
      <c r="CP21" s="40">
        <f aca="true" t="shared" si="59" ref="CP21:CP27">IF(B21="","",AO21-CH21+1.25*CH21)</f>
        <v>250.74834282664142</v>
      </c>
      <c r="CQ21" s="40">
        <f aca="true" t="shared" si="60" ref="CQ21:CQ27">IF(B21="","",AR21-CI21+1.25*CI21)</f>
        <v>223.1502211777242</v>
      </c>
      <c r="CR21" s="40">
        <f t="shared" si="10"/>
        <v>273.74164724530806</v>
      </c>
      <c r="CS21" s="40">
        <f t="shared" si="11"/>
        <v>256.337784224505</v>
      </c>
      <c r="CT21" s="40">
        <f aca="true" t="shared" si="61" ref="CT21:CT87">IF($B21="","",I21*IF($I$14="Sí",IF(OR($D21="T",$D21="RST"),$W21)+SUMIF(INICIO,$B21,I_tramoT),0))</f>
        <v>224.4282121966636</v>
      </c>
      <c r="CU21" s="40">
        <f aca="true" t="shared" si="62" ref="CU21:CU28">IF(B21="","",CR21-CG21+1.25*CG21)</f>
        <v>276.2887807858506</v>
      </c>
      <c r="CV21" s="40">
        <f aca="true" t="shared" si="63" ref="CV21:CV28">IF(B21="","",CS21-CH21+1.25*CH21)</f>
        <v>258.8849177650475</v>
      </c>
      <c r="CW21" s="40">
        <f aca="true" t="shared" si="64" ref="CW21:CW28">IF(B21="","",CT21-CI21+1.25*CI21)</f>
        <v>226.97534573720606</v>
      </c>
      <c r="CX21" s="40">
        <f t="shared" si="12"/>
        <v>245.43353355591165</v>
      </c>
      <c r="CY21" s="40">
        <f t="shared" si="13"/>
        <v>229.77005683718897</v>
      </c>
      <c r="CZ21" s="40">
        <f aca="true" t="shared" si="65" ref="CZ21:CZ27">IF($B21="","",I21*IF($I$14="Sí",IF(OR($D21="T",$D21="RST"),$W21*F21)+SUMIF(INICIO,$B21,IT_cosfi),0))</f>
        <v>201.0514420121317</v>
      </c>
      <c r="DA21" s="40">
        <f aca="true" t="shared" si="66" ref="DA21:DA84">IF($X21="","",X21*AL21^2+Y21*AO21^2+Z21*AR21^2)</f>
        <v>1736.1636142284424</v>
      </c>
    </row>
    <row r="22" spans="1:105" ht="12.75">
      <c r="A22" s="61" t="s">
        <v>12</v>
      </c>
      <c r="B22" s="61" t="s">
        <v>13</v>
      </c>
      <c r="C22" s="61">
        <v>5</v>
      </c>
      <c r="D22" s="61"/>
      <c r="E22" s="61"/>
      <c r="F22" s="61"/>
      <c r="G22" s="61"/>
      <c r="H22" s="120" t="s">
        <v>11</v>
      </c>
      <c r="I22" s="61">
        <v>1</v>
      </c>
      <c r="J22" s="61" t="s">
        <v>292</v>
      </c>
      <c r="K22" s="61">
        <v>50</v>
      </c>
      <c r="L22" s="61">
        <v>180</v>
      </c>
      <c r="M22" s="61" t="s">
        <v>292</v>
      </c>
      <c r="N22" s="61">
        <v>25</v>
      </c>
      <c r="O22" s="61">
        <v>125</v>
      </c>
      <c r="P22" s="61" t="s">
        <v>139</v>
      </c>
      <c r="Q22" s="120"/>
      <c r="R22" s="120"/>
      <c r="S22" s="120"/>
      <c r="T22" s="120">
        <v>0.8</v>
      </c>
      <c r="U22" s="72">
        <f t="shared" si="4"/>
        <v>0.002958</v>
      </c>
      <c r="V22" s="72">
        <f t="shared" si="14"/>
        <v>0.005916</v>
      </c>
      <c r="W22" s="73">
        <f t="shared" si="15"/>
        <v>0</v>
      </c>
      <c r="X22" s="72">
        <f t="shared" si="16"/>
        <v>0.0034966139898603035</v>
      </c>
      <c r="Y22" s="72">
        <f t="shared" si="17"/>
        <v>0.0033630521208028816</v>
      </c>
      <c r="Z22" s="72">
        <f t="shared" si="18"/>
        <v>0.0033677335089298123</v>
      </c>
      <c r="AA22" s="72">
        <f t="shared" si="19"/>
        <v>0.006055128764237219</v>
      </c>
      <c r="AB22" s="72">
        <f t="shared" si="20"/>
        <v>0.0007395</v>
      </c>
      <c r="AC22" s="72">
        <f t="shared" si="21"/>
        <v>0.0004437</v>
      </c>
      <c r="AD22" s="74">
        <f t="shared" si="22"/>
        <v>144</v>
      </c>
      <c r="AE22" s="73">
        <f aca="true" t="shared" si="67" ref="AE22:AE88">IF(B22="","",MAX(AL22,MAX(AO22,AR22))-CC22+1.25*CC22)</f>
        <v>115.76803992322189</v>
      </c>
      <c r="AF22" s="40">
        <f aca="true" t="shared" si="68" ref="AF22:AF87">IF(B22="","",$D$6-MIN(BB22:BD22))</f>
        <v>4.445311542400191</v>
      </c>
      <c r="AG22" s="40">
        <f t="shared" si="23"/>
        <v>1.9248763617273752</v>
      </c>
      <c r="AH22" s="40">
        <f t="shared" si="24"/>
        <v>6.5390243806346575</v>
      </c>
      <c r="AI22" s="260">
        <f t="shared" si="25"/>
        <v>1.6347560951586644</v>
      </c>
      <c r="AJ22" s="40">
        <f t="shared" si="5"/>
        <v>101.46447814133181</v>
      </c>
      <c r="AK22" s="40">
        <f t="shared" si="6"/>
        <v>-50.23875747765462</v>
      </c>
      <c r="AL22" s="261">
        <f t="shared" si="26"/>
        <v>113.22090388877577</v>
      </c>
      <c r="AM22" s="40">
        <f t="shared" si="27"/>
        <v>-80.45798309030143</v>
      </c>
      <c r="AN22" s="40">
        <f t="shared" si="28"/>
        <v>-52.64208796656009</v>
      </c>
      <c r="AO22" s="40">
        <f t="shared" si="29"/>
        <v>96.1492406025044</v>
      </c>
      <c r="AP22" s="40">
        <f t="shared" si="30"/>
        <v>-5.9292815605761735</v>
      </c>
      <c r="AQ22" s="40">
        <f t="shared" si="31"/>
        <v>96.6167534842102</v>
      </c>
      <c r="AR22" s="40">
        <f t="shared" si="32"/>
        <v>96.7985197906106</v>
      </c>
      <c r="AS22" s="40">
        <f t="shared" si="33"/>
        <v>15.077213490454211</v>
      </c>
      <c r="AT22" s="40">
        <f t="shared" si="34"/>
        <v>-6.264091960004521</v>
      </c>
      <c r="AU22" s="40">
        <f t="shared" si="35"/>
        <v>16.32670250602147</v>
      </c>
      <c r="AV22" s="73">
        <f aca="true" t="shared" si="69" ref="AV22:AV88">IF(B22="","",SUMIF(FINAL,$A22,ac_R_Re)-($X22*$AJ22-$AB22*$AK22)-($AA22*$AS22-$AC22*$AT22))</f>
        <v>226.49478300371663</v>
      </c>
      <c r="AW22" s="73">
        <f aca="true" t="shared" si="70" ref="AW22:AW88">IF(B22="","",SUMIF(FINAL,$A22,ac_R_Im)-($X22*$AK22+$AB22*$AJ22)-($AA22*$AT22+$AC22*$AS22))</f>
        <v>-0.07953394824074625</v>
      </c>
      <c r="AX22" s="73">
        <f aca="true" t="shared" si="71" ref="AX22:AX88">IF(B22="","",SUMIF(FINAL,$A22,ac_S_Re)-($Y22*$AM22-$AB22*$AN22)-($AA22*$AS22-$AC22*$AT22))</f>
        <v>-114.71372231590001</v>
      </c>
      <c r="AY22" s="73">
        <f aca="true" t="shared" si="72" ref="AY22:AY88">IF(B22="","",SUMIF(FINAL,$A22,ac_S_Im)-($Y22*$AN22+$AB22*$AM22)-($AA22*$AT22+$AC22*$AS22))</f>
        <v>-196.00884635999472</v>
      </c>
      <c r="AZ22" s="73">
        <f aca="true" t="shared" si="73" ref="AZ22:AZ88">IF(B22="","",SUMIF(FINAL,$A22,ac_T_Re)-($Z22*$AP22-$AB22*$AQ22)-($AA22*$AS22-$AC22*$AT22))</f>
        <v>-113.91706921602258</v>
      </c>
      <c r="BA22" s="73">
        <f aca="true" t="shared" si="74" ref="BA22:BA88">IF(B22="","",SUMIF(FINAL,$A22,ac_T_Im)-($Z22*$AQ22+$AB22*$AP22)-($AA22*$AT22+$AC22*$AS22))</f>
        <v>198.1166837341529</v>
      </c>
      <c r="BB22" s="73">
        <f aca="true" t="shared" si="75" ref="BB22:BB88">IF(B22="","",SQRT(AV22^2+AW22^2))</f>
        <v>226.49479696794276</v>
      </c>
      <c r="BC22" s="73">
        <f aca="true" t="shared" si="76" ref="BC22:BC88">IF(B22="","",SQRT(AX22^2+AY22^2))</f>
        <v>227.10945805700263</v>
      </c>
      <c r="BD22" s="73">
        <f aca="true" t="shared" si="77" ref="BD22:BD88">IF(B22="","",SQRT(AZ22^2+BA22^2))</f>
        <v>228.53297143429097</v>
      </c>
      <c r="BE22" s="73">
        <f t="shared" si="36"/>
        <v>393.46097591068616</v>
      </c>
      <c r="BF22" s="73">
        <f t="shared" si="37"/>
        <v>394.1263352380229</v>
      </c>
      <c r="BG22" s="73">
        <f t="shared" si="38"/>
        <v>393.90604188725047</v>
      </c>
      <c r="BH22" s="73">
        <f t="shared" si="39"/>
        <v>1.9248760003814693</v>
      </c>
      <c r="BI22" s="73">
        <f>IF(B22="","",100*($D$6-BC22)/$D$6)</f>
        <v>1.6587199414596432</v>
      </c>
      <c r="BJ22" s="73">
        <f>IF(B22="","",100*($D$6-BD22)/$D$6)</f>
        <v>1.042320567780299</v>
      </c>
      <c r="BK22" s="40">
        <f aca="true" t="shared" si="78" ref="BK22:BK88">IF(B22="","",I22*(W22+SUMIF(INICIO,$B22,I_tramo)))</f>
        <v>244.96729944029465</v>
      </c>
      <c r="BL22" s="40">
        <f aca="true" t="shared" si="79" ref="BL22:BL88">IF(B22="","",BK22-CC22+1.25*CC22)</f>
        <v>247.5144329808371</v>
      </c>
      <c r="BM22" s="40">
        <f aca="true" t="shared" si="80" ref="BM22:BM88">IF(B22="","",SUMIF(FINAL,$A22,U_FINAL)-SQRT(3)*U22*CN22)</f>
        <v>390.9975498102258</v>
      </c>
      <c r="BN22" s="40">
        <f t="shared" si="40"/>
        <v>2.250612547443552</v>
      </c>
      <c r="BO22" s="40">
        <f t="shared" si="7"/>
        <v>117.99383865434596</v>
      </c>
      <c r="BP22" s="40">
        <f t="shared" si="41"/>
        <v>395.7717987276397</v>
      </c>
      <c r="BQ22" s="40">
        <f t="shared" si="42"/>
        <v>1.0570503180900772</v>
      </c>
      <c r="BR22" s="40">
        <f t="shared" si="43"/>
        <v>396.0557237994774</v>
      </c>
      <c r="BS22" s="40">
        <f aca="true" t="shared" si="81" ref="BS22:BS88">IF(B22="","",100*($D$5-BR22)/$D$5)</f>
        <v>0.9860690501306522</v>
      </c>
      <c r="BT22" s="40">
        <f t="shared" si="44"/>
        <v>396.51542214797365</v>
      </c>
      <c r="BU22" s="40">
        <f t="shared" si="45"/>
        <v>0.871144463006587</v>
      </c>
      <c r="BV22" s="75">
        <f t="shared" si="46"/>
        <v>0.011568844594594596</v>
      </c>
      <c r="BW22" s="75">
        <f t="shared" si="47"/>
        <v>0.009000081418918919</v>
      </c>
      <c r="BX22" s="40">
        <f t="shared" si="8"/>
        <v>5.609274458579577</v>
      </c>
      <c r="BY22" s="40">
        <f t="shared" si="48"/>
        <v>5.61757446387165</v>
      </c>
      <c r="BZ22" s="61"/>
      <c r="CA22" s="73">
        <f t="shared" si="49"/>
        <v>0.7020731031290701</v>
      </c>
      <c r="CB22"/>
      <c r="CC22" s="73">
        <f t="shared" si="50"/>
        <v>10.188534162169868</v>
      </c>
      <c r="CD22" s="73">
        <f t="shared" si="51"/>
        <v>0</v>
      </c>
      <c r="CE22" s="73">
        <f t="shared" si="52"/>
        <v>0</v>
      </c>
      <c r="CF22" s="73">
        <f t="shared" si="53"/>
        <v>0</v>
      </c>
      <c r="CG22" s="73">
        <f t="shared" si="54"/>
        <v>10.188534162169868</v>
      </c>
      <c r="CH22" s="73">
        <f t="shared" si="55"/>
        <v>10.188534162169868</v>
      </c>
      <c r="CI22" s="73">
        <f t="shared" si="56"/>
        <v>10.188534162169868</v>
      </c>
      <c r="CJ22" s="76">
        <f t="shared" si="57"/>
        <v>0</v>
      </c>
      <c r="CK22" s="76">
        <f aca="true" t="shared" si="82" ref="CK22:CK88">IF(B22="","",C22*IF(P22="Unipolar/Al",3,0))</f>
        <v>15</v>
      </c>
      <c r="CL22" s="76">
        <f aca="true" t="shared" si="83" ref="CL22:CL88">IF(B22="","",C22*IF(P22="Tripolar/Cu",1,0))</f>
        <v>0</v>
      </c>
      <c r="CM22" s="76">
        <f aca="true" t="shared" si="84" ref="CM22:CM88">IF(B22="","",C22*IF(P22="Tripolar/Al",1,0))</f>
        <v>0</v>
      </c>
      <c r="CN22" s="40">
        <f t="shared" si="9"/>
        <v>219.96114278815674</v>
      </c>
      <c r="CO22" s="40">
        <f t="shared" si="58"/>
        <v>115.76803742931823</v>
      </c>
      <c r="CP22" s="40">
        <f t="shared" si="59"/>
        <v>98.69637414304687</v>
      </c>
      <c r="CQ22" s="40">
        <f t="shared" si="60"/>
        <v>99.34565333115306</v>
      </c>
      <c r="CR22" s="40">
        <f t="shared" si="10"/>
        <v>115.4467051138035</v>
      </c>
      <c r="CS22" s="40">
        <f t="shared" si="11"/>
        <v>98.04284209300049</v>
      </c>
      <c r="CT22" s="40">
        <f t="shared" si="61"/>
        <v>98.04284209300049</v>
      </c>
      <c r="CU22" s="40">
        <f t="shared" si="62"/>
        <v>117.99383865434596</v>
      </c>
      <c r="CV22" s="40">
        <f t="shared" si="63"/>
        <v>100.58997563354295</v>
      </c>
      <c r="CW22" s="40">
        <f t="shared" si="64"/>
        <v>100.58997563354295</v>
      </c>
      <c r="CX22" s="40">
        <f t="shared" si="12"/>
        <v>103.39260789431465</v>
      </c>
      <c r="CY22" s="40">
        <f t="shared" si="13"/>
        <v>87.72913117559195</v>
      </c>
      <c r="CZ22" s="40">
        <f t="shared" si="65"/>
        <v>87.72913117559195</v>
      </c>
      <c r="DA22" s="40">
        <f t="shared" si="66"/>
        <v>107.46883555699316</v>
      </c>
    </row>
    <row r="23" spans="1:105" ht="12.75">
      <c r="A23" s="61" t="s">
        <v>13</v>
      </c>
      <c r="B23" s="61" t="s">
        <v>14</v>
      </c>
      <c r="C23" s="61">
        <v>10</v>
      </c>
      <c r="D23" s="61"/>
      <c r="E23" s="61"/>
      <c r="F23" s="61"/>
      <c r="G23" s="61"/>
      <c r="H23" s="120" t="s">
        <v>11</v>
      </c>
      <c r="I23" s="61">
        <v>1</v>
      </c>
      <c r="J23" s="61" t="s">
        <v>286</v>
      </c>
      <c r="K23" s="61">
        <v>35</v>
      </c>
      <c r="L23" s="61">
        <v>190</v>
      </c>
      <c r="M23" s="61" t="s">
        <v>286</v>
      </c>
      <c r="N23" s="61">
        <v>16</v>
      </c>
      <c r="O23" s="61">
        <v>125</v>
      </c>
      <c r="P23" s="61" t="s">
        <v>138</v>
      </c>
      <c r="Q23" s="120"/>
      <c r="R23" s="120"/>
      <c r="S23" s="120"/>
      <c r="T23" s="120">
        <v>0.8</v>
      </c>
      <c r="U23" s="72">
        <f t="shared" si="4"/>
        <v>0.005245714285714285</v>
      </c>
      <c r="V23" s="72">
        <f t="shared" si="14"/>
        <v>0.011474999999999999</v>
      </c>
      <c r="W23" s="73">
        <f t="shared" si="15"/>
        <v>0</v>
      </c>
      <c r="X23" s="72">
        <f t="shared" si="16"/>
        <v>0.00609013095949484</v>
      </c>
      <c r="Y23" s="72">
        <f t="shared" si="17"/>
        <v>0.005883351464952787</v>
      </c>
      <c r="Z23" s="72">
        <f t="shared" si="18"/>
        <v>0.005890598962958415</v>
      </c>
      <c r="AA23" s="72">
        <f t="shared" si="19"/>
        <v>0.011733643538626867</v>
      </c>
      <c r="AB23" s="72">
        <f t="shared" si="20"/>
        <v>0.001049142857142857</v>
      </c>
      <c r="AC23" s="72">
        <f t="shared" si="21"/>
        <v>0.0005737499999999999</v>
      </c>
      <c r="AD23" s="74">
        <f t="shared" si="22"/>
        <v>152</v>
      </c>
      <c r="AE23" s="73">
        <f t="shared" si="67"/>
        <v>115.76803742931823</v>
      </c>
      <c r="AF23" s="40">
        <f t="shared" si="68"/>
        <v>5.296394080270318</v>
      </c>
      <c r="AG23" s="40">
        <f t="shared" si="23"/>
        <v>2.293405910983806</v>
      </c>
      <c r="AH23" s="40">
        <f t="shared" si="24"/>
        <v>7.579939099105104</v>
      </c>
      <c r="AI23" s="260">
        <f t="shared" si="25"/>
        <v>1.894984774776276</v>
      </c>
      <c r="AJ23" s="40">
        <f t="shared" si="5"/>
        <v>101.46447321499721</v>
      </c>
      <c r="AK23" s="40">
        <f t="shared" si="6"/>
        <v>-50.238764132850164</v>
      </c>
      <c r="AL23" s="261">
        <f t="shared" si="26"/>
        <v>113.2209024270388</v>
      </c>
      <c r="AM23" s="40">
        <f t="shared" si="27"/>
        <v>-80.45798797139594</v>
      </c>
      <c r="AN23" s="40">
        <f t="shared" si="28"/>
        <v>-52.642093495198054</v>
      </c>
      <c r="AO23" s="40">
        <f t="shared" si="29"/>
        <v>96.14924771397052</v>
      </c>
      <c r="AP23" s="40">
        <f t="shared" si="30"/>
        <v>-5.929285941481913</v>
      </c>
      <c r="AQ23" s="40">
        <f t="shared" si="31"/>
        <v>96.61674806285305</v>
      </c>
      <c r="AR23" s="40">
        <f t="shared" si="32"/>
        <v>96.798514647781</v>
      </c>
      <c r="AS23" s="40">
        <f t="shared" si="33"/>
        <v>15.077199302119363</v>
      </c>
      <c r="AT23" s="40">
        <f t="shared" si="34"/>
        <v>-6.26410956519517</v>
      </c>
      <c r="AU23" s="40">
        <f t="shared" si="35"/>
        <v>16.326696158151478</v>
      </c>
      <c r="AV23" s="73">
        <f t="shared" si="69"/>
        <v>225.64363891852454</v>
      </c>
      <c r="AW23" s="73">
        <f t="shared" si="70"/>
        <v>0.18482626286951848</v>
      </c>
      <c r="AX23" s="73">
        <f t="shared" si="71"/>
        <v>-114.47609328591182</v>
      </c>
      <c r="AY23" s="73">
        <f t="shared" si="72"/>
        <v>-195.54987221310597</v>
      </c>
      <c r="AZ23" s="73">
        <f t="shared" si="73"/>
        <v>-113.96128191432904</v>
      </c>
      <c r="BA23" s="73">
        <f t="shared" si="74"/>
        <v>197.61862417182823</v>
      </c>
      <c r="BB23" s="73">
        <f t="shared" si="75"/>
        <v>225.643714614746</v>
      </c>
      <c r="BC23" s="73">
        <f t="shared" si="76"/>
        <v>226.5933107056933</v>
      </c>
      <c r="BD23" s="73">
        <f t="shared" si="77"/>
        <v>228.12341921671145</v>
      </c>
      <c r="BE23" s="73">
        <f t="shared" si="36"/>
        <v>392.42006118736913</v>
      </c>
      <c r="BF23" s="73">
        <f t="shared" si="37"/>
        <v>393.16883342953105</v>
      </c>
      <c r="BG23" s="73">
        <f t="shared" si="38"/>
        <v>392.82516061301914</v>
      </c>
      <c r="BH23" s="73">
        <f t="shared" si="39"/>
        <v>2.293405469671992</v>
      </c>
      <c r="BI23" s="73">
        <f aca="true" t="shared" si="85" ref="BI23:BI34">IF(B23="","",100*($D$6-BC23)/$D$6)</f>
        <v>1.8822183006246018</v>
      </c>
      <c r="BJ23" s="73">
        <f aca="true" t="shared" si="86" ref="BJ23:BJ34">IF(B23="","",100*($D$6-BD23)/$D$6)</f>
        <v>1.2196618800803556</v>
      </c>
      <c r="BK23" s="40">
        <f t="shared" si="78"/>
        <v>244.96729944029465</v>
      </c>
      <c r="BL23" s="40">
        <f t="shared" si="79"/>
        <v>247.5144329808371</v>
      </c>
      <c r="BM23" s="40">
        <f t="shared" si="80"/>
        <v>388.9990172545115</v>
      </c>
      <c r="BN23" s="40">
        <f t="shared" si="40"/>
        <v>2.750245686372125</v>
      </c>
      <c r="BO23" s="40">
        <f t="shared" si="7"/>
        <v>117.99383865434596</v>
      </c>
      <c r="BP23" s="40">
        <f t="shared" si="41"/>
        <v>394.83238965621115</v>
      </c>
      <c r="BQ23" s="40">
        <f t="shared" si="42"/>
        <v>1.2919025859472129</v>
      </c>
      <c r="BR23" s="40">
        <f t="shared" si="43"/>
        <v>395.2586306287631</v>
      </c>
      <c r="BS23" s="40">
        <f t="shared" si="81"/>
        <v>1.1853423428092213</v>
      </c>
      <c r="BT23" s="40">
        <f t="shared" si="44"/>
        <v>395.7183289772594</v>
      </c>
      <c r="BU23" s="40">
        <f t="shared" si="45"/>
        <v>1.0704177556851562</v>
      </c>
      <c r="BV23" s="75">
        <f t="shared" si="46"/>
        <v>0.01681455888030888</v>
      </c>
      <c r="BW23" s="75">
        <f t="shared" si="47"/>
        <v>0.010049224276061777</v>
      </c>
      <c r="BX23" s="40">
        <f t="shared" si="8"/>
        <v>5.421002571348762</v>
      </c>
      <c r="BY23" s="40">
        <f t="shared" si="48"/>
        <v>5.98211918971864</v>
      </c>
      <c r="BZ23" s="61"/>
      <c r="CA23" s="73">
        <f t="shared" si="49"/>
        <v>0.8524107872530902</v>
      </c>
      <c r="CB23"/>
      <c r="CC23" s="73">
        <f t="shared" si="50"/>
        <v>10.188534162169868</v>
      </c>
      <c r="CD23" s="73">
        <f t="shared" si="51"/>
        <v>0</v>
      </c>
      <c r="CE23" s="73">
        <f t="shared" si="52"/>
        <v>0</v>
      </c>
      <c r="CF23" s="73">
        <f t="shared" si="53"/>
        <v>0</v>
      </c>
      <c r="CG23" s="73">
        <f t="shared" si="54"/>
        <v>10.188534162169868</v>
      </c>
      <c r="CH23" s="73">
        <f t="shared" si="55"/>
        <v>10.188534162169868</v>
      </c>
      <c r="CI23" s="73">
        <f t="shared" si="56"/>
        <v>10.188534162169868</v>
      </c>
      <c r="CJ23" s="76">
        <f t="shared" si="57"/>
        <v>30</v>
      </c>
      <c r="CK23" s="76">
        <f t="shared" si="82"/>
        <v>0</v>
      </c>
      <c r="CL23" s="76">
        <f t="shared" si="83"/>
        <v>0</v>
      </c>
      <c r="CM23" s="76">
        <f t="shared" si="84"/>
        <v>0</v>
      </c>
      <c r="CN23" s="40">
        <f t="shared" si="9"/>
        <v>219.96114278815674</v>
      </c>
      <c r="CO23" s="40">
        <f t="shared" si="58"/>
        <v>115.76803596758126</v>
      </c>
      <c r="CP23" s="40">
        <f t="shared" si="59"/>
        <v>98.69638125451299</v>
      </c>
      <c r="CQ23" s="40">
        <f t="shared" si="60"/>
        <v>99.34564818832347</v>
      </c>
      <c r="CR23" s="40">
        <f t="shared" si="10"/>
        <v>115.4467051138035</v>
      </c>
      <c r="CS23" s="40">
        <f t="shared" si="11"/>
        <v>98.04284209300049</v>
      </c>
      <c r="CT23" s="40">
        <f t="shared" si="61"/>
        <v>98.04284209300049</v>
      </c>
      <c r="CU23" s="40">
        <f t="shared" si="62"/>
        <v>117.99383865434596</v>
      </c>
      <c r="CV23" s="40">
        <f t="shared" si="63"/>
        <v>100.58997563354295</v>
      </c>
      <c r="CW23" s="40">
        <f t="shared" si="64"/>
        <v>100.58997563354295</v>
      </c>
      <c r="CX23" s="40">
        <f t="shared" si="12"/>
        <v>103.39260789431465</v>
      </c>
      <c r="CY23" s="40">
        <f t="shared" si="13"/>
        <v>87.72913117559195</v>
      </c>
      <c r="CZ23" s="40">
        <f t="shared" si="65"/>
        <v>87.72913117559195</v>
      </c>
      <c r="DA23" s="40">
        <f t="shared" si="66"/>
        <v>187.65354379530584</v>
      </c>
    </row>
    <row r="24" spans="1:105" ht="12.75">
      <c r="A24" s="61" t="s">
        <v>14</v>
      </c>
      <c r="B24" s="61" t="s">
        <v>15</v>
      </c>
      <c r="C24" s="61">
        <v>0</v>
      </c>
      <c r="D24" s="61" t="s">
        <v>303</v>
      </c>
      <c r="E24" s="61">
        <v>20700</v>
      </c>
      <c r="F24" s="61">
        <v>0.9</v>
      </c>
      <c r="G24" s="61" t="s">
        <v>320</v>
      </c>
      <c r="H24" s="120"/>
      <c r="I24" s="61">
        <v>0.825</v>
      </c>
      <c r="J24" s="61" t="s">
        <v>285</v>
      </c>
      <c r="K24" s="61">
        <v>25</v>
      </c>
      <c r="L24" s="61">
        <v>120</v>
      </c>
      <c r="M24" s="61" t="s">
        <v>285</v>
      </c>
      <c r="N24" s="61">
        <v>25</v>
      </c>
      <c r="O24" s="61">
        <v>120</v>
      </c>
      <c r="P24" s="61" t="s">
        <v>138</v>
      </c>
      <c r="Q24" s="120"/>
      <c r="R24" s="120"/>
      <c r="S24" s="120">
        <v>45</v>
      </c>
      <c r="T24" s="120"/>
      <c r="U24" s="72">
        <f t="shared" si="4"/>
        <v>0</v>
      </c>
      <c r="V24" s="72">
        <f t="shared" si="14"/>
        <v>0</v>
      </c>
      <c r="W24" s="73">
        <f t="shared" si="15"/>
        <v>99.59292143521043</v>
      </c>
      <c r="X24" s="72">
        <f t="shared" si="16"/>
        <v>0</v>
      </c>
      <c r="Y24" s="72">
        <f t="shared" si="17"/>
        <v>0</v>
      </c>
      <c r="Z24" s="72">
        <f t="shared" si="18"/>
        <v>0</v>
      </c>
      <c r="AA24" s="72">
        <f t="shared" si="19"/>
        <v>0</v>
      </c>
      <c r="AB24" s="72">
        <f t="shared" si="20"/>
        <v>0</v>
      </c>
      <c r="AC24" s="72">
        <f t="shared" si="21"/>
        <v>0</v>
      </c>
      <c r="AD24" s="74">
        <f t="shared" si="22"/>
        <v>113.84199576606166</v>
      </c>
      <c r="AE24" s="73">
        <f t="shared" si="67"/>
        <v>80.27980267695695</v>
      </c>
      <c r="AF24" s="40">
        <f t="shared" si="68"/>
        <v>5.296394080270318</v>
      </c>
      <c r="AG24" s="40">
        <f t="shared" si="23"/>
        <v>2.293405910983806</v>
      </c>
      <c r="AH24" s="40">
        <f t="shared" si="24"/>
        <v>7.579939099105104</v>
      </c>
      <c r="AI24" s="260">
        <f t="shared" si="25"/>
        <v>1.894984774776276</v>
      </c>
      <c r="AJ24" s="40">
        <f t="shared" si="5"/>
        <v>72.28046092830091</v>
      </c>
      <c r="AK24" s="40">
        <f t="shared" si="6"/>
        <v>-34.93396132486648</v>
      </c>
      <c r="AL24" s="261">
        <f t="shared" si="26"/>
        <v>80.27980247767742</v>
      </c>
      <c r="AM24" s="40">
        <f t="shared" si="27"/>
        <v>0</v>
      </c>
      <c r="AN24" s="40">
        <f t="shared" si="28"/>
        <v>0</v>
      </c>
      <c r="AO24" s="40">
        <f t="shared" si="29"/>
        <v>0</v>
      </c>
      <c r="AP24" s="40">
        <f t="shared" si="30"/>
        <v>0</v>
      </c>
      <c r="AQ24" s="40">
        <f t="shared" si="31"/>
        <v>0</v>
      </c>
      <c r="AR24" s="40">
        <f t="shared" si="32"/>
        <v>0</v>
      </c>
      <c r="AS24" s="40">
        <f t="shared" si="33"/>
        <v>72.28046092830091</v>
      </c>
      <c r="AT24" s="40">
        <f t="shared" si="34"/>
        <v>-34.93396132486648</v>
      </c>
      <c r="AU24" s="40">
        <f t="shared" si="35"/>
        <v>80.27980247767742</v>
      </c>
      <c r="AV24" s="73">
        <f t="shared" si="69"/>
        <v>225.64363891852454</v>
      </c>
      <c r="AW24" s="73">
        <f t="shared" si="70"/>
        <v>0.18482626286951848</v>
      </c>
      <c r="AX24" s="73">
        <f t="shared" si="71"/>
        <v>-114.47609328591182</v>
      </c>
      <c r="AY24" s="73">
        <f t="shared" si="72"/>
        <v>-195.54987221310597</v>
      </c>
      <c r="AZ24" s="73">
        <f t="shared" si="73"/>
        <v>-113.96128191432904</v>
      </c>
      <c r="BA24" s="73">
        <f t="shared" si="74"/>
        <v>197.61862417182823</v>
      </c>
      <c r="BB24" s="73">
        <f t="shared" si="75"/>
        <v>225.643714614746</v>
      </c>
      <c r="BC24" s="73">
        <f t="shared" si="76"/>
        <v>226.5933107056933</v>
      </c>
      <c r="BD24" s="73">
        <f t="shared" si="77"/>
        <v>228.12341921671145</v>
      </c>
      <c r="BE24" s="73">
        <f t="shared" si="36"/>
        <v>392.42006118736913</v>
      </c>
      <c r="BF24" s="73">
        <f t="shared" si="37"/>
        <v>393.16883342953105</v>
      </c>
      <c r="BG24" s="73">
        <f t="shared" si="38"/>
        <v>392.82516061301914</v>
      </c>
      <c r="BH24" s="73">
        <f t="shared" si="39"/>
        <v>2.293405469671992</v>
      </c>
      <c r="BI24" s="73">
        <f t="shared" si="85"/>
        <v>1.8822183006246018</v>
      </c>
      <c r="BJ24" s="73">
        <f t="shared" si="86"/>
        <v>1.2196618800803556</v>
      </c>
      <c r="BK24" s="40">
        <f t="shared" si="78"/>
        <v>82.1641601840486</v>
      </c>
      <c r="BL24" s="40">
        <f t="shared" si="79"/>
        <v>82.1641601840486</v>
      </c>
      <c r="BM24" s="40">
        <f t="shared" si="80"/>
        <v>388.9990172545115</v>
      </c>
      <c r="BN24" s="40">
        <f t="shared" si="40"/>
        <v>2.750245686372125</v>
      </c>
      <c r="BO24" s="40">
        <f t="shared" si="7"/>
        <v>82.1641601840486</v>
      </c>
      <c r="BP24" s="40">
        <f t="shared" si="41"/>
        <v>394.83238965621115</v>
      </c>
      <c r="BQ24" s="40">
        <f t="shared" si="42"/>
        <v>1.2919025859472129</v>
      </c>
      <c r="BR24" s="40">
        <f t="shared" si="43"/>
        <v>395.2586306287631</v>
      </c>
      <c r="BS24" s="40">
        <f t="shared" si="81"/>
        <v>1.1853423428092213</v>
      </c>
      <c r="BT24" s="40">
        <f t="shared" si="44"/>
        <v>395.7183289772594</v>
      </c>
      <c r="BU24" s="40">
        <f t="shared" si="45"/>
        <v>1.0704177556851562</v>
      </c>
      <c r="BV24" s="75">
        <f t="shared" si="46"/>
        <v>0.01681455888030888</v>
      </c>
      <c r="BW24" s="75">
        <f t="shared" si="47"/>
        <v>0.010049224276061777</v>
      </c>
      <c r="BX24" s="40">
        <f t="shared" si="8"/>
        <v>5.099535885282041</v>
      </c>
      <c r="BY24" s="40">
        <f t="shared" si="48"/>
        <v>4.272942278370457</v>
      </c>
      <c r="BZ24" s="61"/>
      <c r="CA24" s="73">
        <f t="shared" si="49"/>
        <v>0.4914629552127756</v>
      </c>
      <c r="CB24"/>
      <c r="CC24" s="73">
        <f t="shared" si="50"/>
        <v>0</v>
      </c>
      <c r="CD24" s="73">
        <f t="shared" si="51"/>
        <v>1</v>
      </c>
      <c r="CE24" s="73">
        <f t="shared" si="52"/>
        <v>0</v>
      </c>
      <c r="CF24" s="73">
        <f t="shared" si="53"/>
        <v>0</v>
      </c>
      <c r="CG24" s="73">
        <f t="shared" si="54"/>
        <v>0</v>
      </c>
      <c r="CH24" s="73">
        <f t="shared" si="55"/>
        <v>0</v>
      </c>
      <c r="CI24" s="73">
        <f t="shared" si="56"/>
        <v>0</v>
      </c>
      <c r="CJ24" s="76">
        <f t="shared" si="57"/>
        <v>0</v>
      </c>
      <c r="CK24" s="76">
        <f t="shared" si="82"/>
        <v>0</v>
      </c>
      <c r="CL24" s="76">
        <f t="shared" si="83"/>
        <v>0</v>
      </c>
      <c r="CM24" s="76">
        <f t="shared" si="84"/>
        <v>0</v>
      </c>
      <c r="CN24" s="40">
        <f t="shared" si="9"/>
        <v>73.94774416564374</v>
      </c>
      <c r="CO24" s="40">
        <f t="shared" si="58"/>
        <v>80.27980247767742</v>
      </c>
      <c r="CP24" s="40">
        <f t="shared" si="59"/>
        <v>0</v>
      </c>
      <c r="CQ24" s="40">
        <f t="shared" si="60"/>
        <v>0</v>
      </c>
      <c r="CR24" s="40">
        <f t="shared" si="10"/>
        <v>82.1641601840486</v>
      </c>
      <c r="CS24" s="40">
        <f t="shared" si="11"/>
        <v>0</v>
      </c>
      <c r="CT24" s="40">
        <f t="shared" si="61"/>
        <v>0</v>
      </c>
      <c r="CU24" s="40">
        <f t="shared" si="62"/>
        <v>82.1641601840486</v>
      </c>
      <c r="CV24" s="40">
        <f t="shared" si="63"/>
        <v>0</v>
      </c>
      <c r="CW24" s="40">
        <f t="shared" si="64"/>
        <v>0</v>
      </c>
      <c r="CX24" s="40">
        <f t="shared" si="12"/>
        <v>73.94774416564374</v>
      </c>
      <c r="CY24" s="40">
        <f t="shared" si="13"/>
        <v>0</v>
      </c>
      <c r="CZ24" s="40">
        <f t="shared" si="65"/>
        <v>0</v>
      </c>
      <c r="DA24" s="40">
        <f t="shared" si="66"/>
        <v>0</v>
      </c>
    </row>
    <row r="25" spans="1:105" ht="12.75">
      <c r="A25" s="61" t="s">
        <v>14</v>
      </c>
      <c r="B25" s="61" t="s">
        <v>16</v>
      </c>
      <c r="C25" s="61">
        <v>0</v>
      </c>
      <c r="D25" s="61" t="s">
        <v>304</v>
      </c>
      <c r="E25" s="61">
        <v>15525</v>
      </c>
      <c r="F25" s="61">
        <v>0.9</v>
      </c>
      <c r="G25" s="61" t="s">
        <v>320</v>
      </c>
      <c r="H25" s="120"/>
      <c r="I25" s="61">
        <v>0.867</v>
      </c>
      <c r="J25" s="61" t="s">
        <v>285</v>
      </c>
      <c r="K25" s="61">
        <v>25</v>
      </c>
      <c r="L25" s="61">
        <v>120</v>
      </c>
      <c r="M25" s="61" t="s">
        <v>285</v>
      </c>
      <c r="N25" s="61">
        <v>25</v>
      </c>
      <c r="O25" s="61">
        <v>120</v>
      </c>
      <c r="P25" s="61" t="s">
        <v>138</v>
      </c>
      <c r="Q25" s="120"/>
      <c r="R25" s="120"/>
      <c r="S25" s="120">
        <v>45</v>
      </c>
      <c r="T25" s="120"/>
      <c r="U25" s="72">
        <f t="shared" si="4"/>
        <v>0</v>
      </c>
      <c r="V25" s="72">
        <f t="shared" si="14"/>
        <v>0</v>
      </c>
      <c r="W25" s="73">
        <f t="shared" si="15"/>
        <v>74.69469107640782</v>
      </c>
      <c r="X25" s="72">
        <f t="shared" si="16"/>
        <v>0</v>
      </c>
      <c r="Y25" s="72">
        <f t="shared" si="17"/>
        <v>0</v>
      </c>
      <c r="Z25" s="72">
        <f t="shared" si="18"/>
        <v>0</v>
      </c>
      <c r="AA25" s="72">
        <f t="shared" si="19"/>
        <v>0</v>
      </c>
      <c r="AB25" s="72">
        <f t="shared" si="20"/>
        <v>0</v>
      </c>
      <c r="AC25" s="72">
        <f t="shared" si="21"/>
        <v>0</v>
      </c>
      <c r="AD25" s="74">
        <f t="shared" si="22"/>
        <v>113.84199576606166</v>
      </c>
      <c r="AE25" s="73">
        <f t="shared" si="67"/>
        <v>63.541365862885705</v>
      </c>
      <c r="AF25" s="40">
        <f t="shared" si="68"/>
        <v>5.296394080270318</v>
      </c>
      <c r="AG25" s="40">
        <f t="shared" si="23"/>
        <v>2.293405910983806</v>
      </c>
      <c r="AH25" s="40">
        <f t="shared" si="24"/>
        <v>7.579939099105104</v>
      </c>
      <c r="AI25" s="260">
        <f t="shared" si="25"/>
        <v>1.894984774776276</v>
      </c>
      <c r="AJ25" s="40">
        <f t="shared" si="5"/>
        <v>0</v>
      </c>
      <c r="AK25" s="40">
        <f t="shared" si="6"/>
        <v>0</v>
      </c>
      <c r="AL25" s="261">
        <f t="shared" si="26"/>
        <v>0</v>
      </c>
      <c r="AM25" s="40">
        <f t="shared" si="27"/>
        <v>-52.79380636020339</v>
      </c>
      <c r="AN25" s="40">
        <f t="shared" si="28"/>
        <v>-35.35985542879056</v>
      </c>
      <c r="AO25" s="40">
        <f t="shared" si="29"/>
        <v>63.541367359725754</v>
      </c>
      <c r="AP25" s="40">
        <f t="shared" si="30"/>
        <v>0</v>
      </c>
      <c r="AQ25" s="40">
        <f t="shared" si="31"/>
        <v>0</v>
      </c>
      <c r="AR25" s="40">
        <f t="shared" si="32"/>
        <v>0</v>
      </c>
      <c r="AS25" s="40">
        <f t="shared" si="33"/>
        <v>-52.79380636020339</v>
      </c>
      <c r="AT25" s="40">
        <f t="shared" si="34"/>
        <v>-35.35985542879056</v>
      </c>
      <c r="AU25" s="40">
        <f t="shared" si="35"/>
        <v>63.541367359725754</v>
      </c>
      <c r="AV25" s="73">
        <f t="shared" si="69"/>
        <v>225.64363891852454</v>
      </c>
      <c r="AW25" s="73">
        <f t="shared" si="70"/>
        <v>0.18482626286951848</v>
      </c>
      <c r="AX25" s="73">
        <f t="shared" si="71"/>
        <v>-114.47609328591182</v>
      </c>
      <c r="AY25" s="73">
        <f t="shared" si="72"/>
        <v>-195.54987221310597</v>
      </c>
      <c r="AZ25" s="73">
        <f t="shared" si="73"/>
        <v>-113.96128191432904</v>
      </c>
      <c r="BA25" s="73">
        <f t="shared" si="74"/>
        <v>197.61862417182823</v>
      </c>
      <c r="BB25" s="73">
        <f t="shared" si="75"/>
        <v>225.643714614746</v>
      </c>
      <c r="BC25" s="73">
        <f t="shared" si="76"/>
        <v>226.5933107056933</v>
      </c>
      <c r="BD25" s="73">
        <f t="shared" si="77"/>
        <v>228.12341921671145</v>
      </c>
      <c r="BE25" s="73">
        <f t="shared" si="36"/>
        <v>392.42006118736913</v>
      </c>
      <c r="BF25" s="73">
        <f t="shared" si="37"/>
        <v>393.16883342953105</v>
      </c>
      <c r="BG25" s="73">
        <f t="shared" si="38"/>
        <v>392.82516061301914</v>
      </c>
      <c r="BH25" s="73">
        <f t="shared" si="39"/>
        <v>2.293405469671992</v>
      </c>
      <c r="BI25" s="73">
        <f t="shared" si="85"/>
        <v>1.8822183006246018</v>
      </c>
      <c r="BJ25" s="73">
        <f t="shared" si="86"/>
        <v>1.2196618800803556</v>
      </c>
      <c r="BK25" s="40">
        <f t="shared" si="78"/>
        <v>64.76029716324558</v>
      </c>
      <c r="BL25" s="40">
        <f t="shared" si="79"/>
        <v>64.76029716324558</v>
      </c>
      <c r="BM25" s="40">
        <f t="shared" si="80"/>
        <v>388.9990172545115</v>
      </c>
      <c r="BN25" s="40">
        <f t="shared" si="40"/>
        <v>2.750245686372125</v>
      </c>
      <c r="BO25" s="40">
        <f t="shared" si="7"/>
        <v>64.76029716324558</v>
      </c>
      <c r="BP25" s="40">
        <f t="shared" si="41"/>
        <v>394.83238965621115</v>
      </c>
      <c r="BQ25" s="40">
        <f t="shared" si="42"/>
        <v>1.2919025859472129</v>
      </c>
      <c r="BR25" s="40">
        <f t="shared" si="43"/>
        <v>395.2586306287631</v>
      </c>
      <c r="BS25" s="40">
        <f t="shared" si="81"/>
        <v>1.1853423428092213</v>
      </c>
      <c r="BT25" s="40">
        <f t="shared" si="44"/>
        <v>395.7183289772594</v>
      </c>
      <c r="BU25" s="40">
        <f t="shared" si="45"/>
        <v>1.0704177556851562</v>
      </c>
      <c r="BV25" s="75">
        <f t="shared" si="46"/>
        <v>0.01681455888030888</v>
      </c>
      <c r="BW25" s="75">
        <f t="shared" si="47"/>
        <v>0.010049224276061777</v>
      </c>
      <c r="BX25" s="40">
        <f t="shared" si="8"/>
        <v>5.099535885282041</v>
      </c>
      <c r="BY25" s="40">
        <f t="shared" si="48"/>
        <v>4.272942278370457</v>
      </c>
      <c r="BZ25" s="61"/>
      <c r="CA25" s="73">
        <f t="shared" si="49"/>
        <v>0.4914629552127756</v>
      </c>
      <c r="CB25"/>
      <c r="CC25" s="73">
        <f t="shared" si="50"/>
        <v>0</v>
      </c>
      <c r="CD25" s="73">
        <f t="shared" si="51"/>
        <v>0</v>
      </c>
      <c r="CE25" s="73">
        <f t="shared" si="52"/>
        <v>1</v>
      </c>
      <c r="CF25" s="73">
        <f t="shared" si="53"/>
        <v>0</v>
      </c>
      <c r="CG25" s="73">
        <f t="shared" si="54"/>
        <v>0</v>
      </c>
      <c r="CH25" s="73">
        <f t="shared" si="55"/>
        <v>0</v>
      </c>
      <c r="CI25" s="73">
        <f t="shared" si="56"/>
        <v>0</v>
      </c>
      <c r="CJ25" s="76">
        <f t="shared" si="57"/>
        <v>0</v>
      </c>
      <c r="CK25" s="76">
        <f t="shared" si="82"/>
        <v>0</v>
      </c>
      <c r="CL25" s="76">
        <f t="shared" si="83"/>
        <v>0</v>
      </c>
      <c r="CM25" s="76">
        <f t="shared" si="84"/>
        <v>0</v>
      </c>
      <c r="CN25" s="40">
        <f t="shared" si="9"/>
        <v>58.28426744692103</v>
      </c>
      <c r="CO25" s="40">
        <f t="shared" si="58"/>
        <v>0</v>
      </c>
      <c r="CP25" s="40">
        <f t="shared" si="59"/>
        <v>63.541367359725754</v>
      </c>
      <c r="CQ25" s="40">
        <f t="shared" si="60"/>
        <v>0</v>
      </c>
      <c r="CR25" s="40">
        <f t="shared" si="10"/>
        <v>0</v>
      </c>
      <c r="CS25" s="40">
        <f t="shared" si="11"/>
        <v>64.76029716324558</v>
      </c>
      <c r="CT25" s="40">
        <f t="shared" si="61"/>
        <v>0</v>
      </c>
      <c r="CU25" s="40">
        <f t="shared" si="62"/>
        <v>0</v>
      </c>
      <c r="CV25" s="40">
        <f t="shared" si="63"/>
        <v>64.76029716324558</v>
      </c>
      <c r="CW25" s="40">
        <f t="shared" si="64"/>
        <v>0</v>
      </c>
      <c r="CX25" s="40">
        <f t="shared" si="12"/>
        <v>0</v>
      </c>
      <c r="CY25" s="40">
        <f t="shared" si="13"/>
        <v>58.28426744692103</v>
      </c>
      <c r="CZ25" s="40">
        <f t="shared" si="65"/>
        <v>0</v>
      </c>
      <c r="DA25" s="40">
        <f t="shared" si="66"/>
        <v>0</v>
      </c>
    </row>
    <row r="26" spans="1:105" ht="12.75">
      <c r="A26" s="61" t="s">
        <v>14</v>
      </c>
      <c r="B26" s="61" t="s">
        <v>17</v>
      </c>
      <c r="C26" s="61">
        <v>0</v>
      </c>
      <c r="D26" s="61" t="s">
        <v>305</v>
      </c>
      <c r="E26" s="61">
        <v>15525</v>
      </c>
      <c r="F26" s="61">
        <v>0.9</v>
      </c>
      <c r="G26" s="61" t="s">
        <v>320</v>
      </c>
      <c r="H26" s="120"/>
      <c r="I26" s="61">
        <v>0.867</v>
      </c>
      <c r="J26" s="61" t="s">
        <v>285</v>
      </c>
      <c r="K26" s="61">
        <v>25</v>
      </c>
      <c r="L26" s="61">
        <v>120</v>
      </c>
      <c r="M26" s="61" t="s">
        <v>285</v>
      </c>
      <c r="N26" s="61">
        <v>25</v>
      </c>
      <c r="O26" s="61">
        <v>120</v>
      </c>
      <c r="P26" s="61" t="s">
        <v>138</v>
      </c>
      <c r="Q26" s="120"/>
      <c r="R26" s="120"/>
      <c r="S26" s="120">
        <v>45</v>
      </c>
      <c r="T26" s="120"/>
      <c r="U26" s="72">
        <f t="shared" si="4"/>
        <v>0</v>
      </c>
      <c r="V26" s="72">
        <f t="shared" si="14"/>
        <v>0</v>
      </c>
      <c r="W26" s="73">
        <f t="shared" si="15"/>
        <v>74.69469107640782</v>
      </c>
      <c r="X26" s="72">
        <f t="shared" si="16"/>
        <v>0</v>
      </c>
      <c r="Y26" s="72">
        <f t="shared" si="17"/>
        <v>0</v>
      </c>
      <c r="Z26" s="72">
        <f t="shared" si="18"/>
        <v>0</v>
      </c>
      <c r="AA26" s="72">
        <f t="shared" si="19"/>
        <v>0</v>
      </c>
      <c r="AB26" s="72">
        <f t="shared" si="20"/>
        <v>0</v>
      </c>
      <c r="AC26" s="72">
        <f t="shared" si="21"/>
        <v>0</v>
      </c>
      <c r="AD26" s="74">
        <f t="shared" si="22"/>
        <v>113.84199576606166</v>
      </c>
      <c r="AE26" s="73">
        <f t="shared" si="67"/>
        <v>63.97044158385915</v>
      </c>
      <c r="AF26" s="40">
        <f t="shared" si="68"/>
        <v>5.296394080270318</v>
      </c>
      <c r="AG26" s="40">
        <f t="shared" si="23"/>
        <v>2.293405910983806</v>
      </c>
      <c r="AH26" s="40">
        <f t="shared" si="24"/>
        <v>7.579939099105104</v>
      </c>
      <c r="AI26" s="260">
        <f t="shared" si="25"/>
        <v>1.894984774776276</v>
      </c>
      <c r="AJ26" s="40">
        <f t="shared" si="5"/>
        <v>0</v>
      </c>
      <c r="AK26" s="40">
        <f t="shared" si="6"/>
        <v>0</v>
      </c>
      <c r="AL26" s="261">
        <f t="shared" si="26"/>
        <v>0</v>
      </c>
      <c r="AM26" s="40">
        <f t="shared" si="27"/>
        <v>0</v>
      </c>
      <c r="AN26" s="40">
        <f t="shared" si="28"/>
        <v>0</v>
      </c>
      <c r="AO26" s="40">
        <f t="shared" si="29"/>
        <v>0</v>
      </c>
      <c r="AP26" s="40">
        <f t="shared" si="30"/>
        <v>-4.605957992176465</v>
      </c>
      <c r="AQ26" s="40">
        <f t="shared" si="31"/>
        <v>63.80440734170026</v>
      </c>
      <c r="AR26" s="40">
        <f t="shared" si="32"/>
        <v>63.97044040219911</v>
      </c>
      <c r="AS26" s="40">
        <f t="shared" si="33"/>
        <v>-4.605957992176465</v>
      </c>
      <c r="AT26" s="40">
        <f t="shared" si="34"/>
        <v>63.80440734170026</v>
      </c>
      <c r="AU26" s="40">
        <f t="shared" si="35"/>
        <v>63.97044040219911</v>
      </c>
      <c r="AV26" s="73">
        <f t="shared" si="69"/>
        <v>225.64363891852454</v>
      </c>
      <c r="AW26" s="73">
        <f t="shared" si="70"/>
        <v>0.18482626286951848</v>
      </c>
      <c r="AX26" s="73">
        <f t="shared" si="71"/>
        <v>-114.47609328591182</v>
      </c>
      <c r="AY26" s="73">
        <f t="shared" si="72"/>
        <v>-195.54987221310597</v>
      </c>
      <c r="AZ26" s="73">
        <f t="shared" si="73"/>
        <v>-113.96128191432904</v>
      </c>
      <c r="BA26" s="73">
        <f t="shared" si="74"/>
        <v>197.61862417182823</v>
      </c>
      <c r="BB26" s="73">
        <f t="shared" si="75"/>
        <v>225.643714614746</v>
      </c>
      <c r="BC26" s="73">
        <f t="shared" si="76"/>
        <v>226.5933107056933</v>
      </c>
      <c r="BD26" s="73">
        <f t="shared" si="77"/>
        <v>228.12341921671145</v>
      </c>
      <c r="BE26" s="73">
        <f t="shared" si="36"/>
        <v>392.42006118736913</v>
      </c>
      <c r="BF26" s="73">
        <f t="shared" si="37"/>
        <v>393.16883342953105</v>
      </c>
      <c r="BG26" s="73">
        <f t="shared" si="38"/>
        <v>392.82516061301914</v>
      </c>
      <c r="BH26" s="73">
        <f t="shared" si="39"/>
        <v>2.293405469671992</v>
      </c>
      <c r="BI26" s="73">
        <f t="shared" si="85"/>
        <v>1.8822183006246018</v>
      </c>
      <c r="BJ26" s="73">
        <f t="shared" si="86"/>
        <v>1.2196618800803556</v>
      </c>
      <c r="BK26" s="40">
        <f t="shared" si="78"/>
        <v>64.76029716324558</v>
      </c>
      <c r="BL26" s="40">
        <f t="shared" si="79"/>
        <v>64.76029716324558</v>
      </c>
      <c r="BM26" s="40">
        <f t="shared" si="80"/>
        <v>388.9990172545115</v>
      </c>
      <c r="BN26" s="40">
        <f t="shared" si="40"/>
        <v>2.750245686372125</v>
      </c>
      <c r="BO26" s="40">
        <f t="shared" si="7"/>
        <v>64.76029716324558</v>
      </c>
      <c r="BP26" s="40">
        <f t="shared" si="41"/>
        <v>394.83238965621115</v>
      </c>
      <c r="BQ26" s="40">
        <f t="shared" si="42"/>
        <v>1.2919025859472129</v>
      </c>
      <c r="BR26" s="40">
        <f t="shared" si="43"/>
        <v>395.2586306287631</v>
      </c>
      <c r="BS26" s="40">
        <f t="shared" si="81"/>
        <v>1.1853423428092213</v>
      </c>
      <c r="BT26" s="40">
        <f t="shared" si="44"/>
        <v>395.7183289772594</v>
      </c>
      <c r="BU26" s="40">
        <f t="shared" si="45"/>
        <v>1.0704177556851562</v>
      </c>
      <c r="BV26" s="75">
        <f t="shared" si="46"/>
        <v>0.01681455888030888</v>
      </c>
      <c r="BW26" s="75">
        <f t="shared" si="47"/>
        <v>0.010049224276061777</v>
      </c>
      <c r="BX26" s="40">
        <f t="shared" si="8"/>
        <v>5.099535885282041</v>
      </c>
      <c r="BY26" s="40">
        <f t="shared" si="48"/>
        <v>4.272942278370457</v>
      </c>
      <c r="BZ26" s="61"/>
      <c r="CA26" s="73">
        <f t="shared" si="49"/>
        <v>0.4914629552127756</v>
      </c>
      <c r="CB26"/>
      <c r="CC26" s="73">
        <f t="shared" si="50"/>
        <v>0</v>
      </c>
      <c r="CD26" s="73">
        <f t="shared" si="51"/>
        <v>0</v>
      </c>
      <c r="CE26" s="73">
        <f t="shared" si="52"/>
        <v>0</v>
      </c>
      <c r="CF26" s="73">
        <f t="shared" si="53"/>
        <v>1</v>
      </c>
      <c r="CG26" s="73">
        <f t="shared" si="54"/>
        <v>0</v>
      </c>
      <c r="CH26" s="73">
        <f t="shared" si="55"/>
        <v>0</v>
      </c>
      <c r="CI26" s="73">
        <f t="shared" si="56"/>
        <v>0</v>
      </c>
      <c r="CJ26" s="76">
        <f t="shared" si="57"/>
        <v>0</v>
      </c>
      <c r="CK26" s="76">
        <f t="shared" si="82"/>
        <v>0</v>
      </c>
      <c r="CL26" s="76">
        <f t="shared" si="83"/>
        <v>0</v>
      </c>
      <c r="CM26" s="76">
        <f t="shared" si="84"/>
        <v>0</v>
      </c>
      <c r="CN26" s="40">
        <f t="shared" si="9"/>
        <v>58.28426744692103</v>
      </c>
      <c r="CO26" s="40">
        <f t="shared" si="58"/>
        <v>0</v>
      </c>
      <c r="CP26" s="40">
        <f t="shared" si="59"/>
        <v>0</v>
      </c>
      <c r="CQ26" s="40">
        <f t="shared" si="60"/>
        <v>63.97044040219911</v>
      </c>
      <c r="CR26" s="40">
        <f>IF($B26="","",I26*IF($G$14="Sí",IF(OR($D26="R",$D26="RST"),$W26)+SUMIF(INICIO,$B26,I_tramoR),0))</f>
        <v>0</v>
      </c>
      <c r="CS26" s="40">
        <f aca="true" t="shared" si="87" ref="CS26:CS92">IF($B26="","",I26*IF($H$14="Sí",IF(OR($D26="S",$D26="RST"),$W26)+SUMIF(INICIO,$B26,I_tramoS),0))</f>
        <v>0</v>
      </c>
      <c r="CT26" s="40">
        <f t="shared" si="61"/>
        <v>64.76029716324558</v>
      </c>
      <c r="CU26" s="40">
        <f t="shared" si="62"/>
        <v>0</v>
      </c>
      <c r="CV26" s="40">
        <f t="shared" si="63"/>
        <v>0</v>
      </c>
      <c r="CW26" s="40">
        <f t="shared" si="64"/>
        <v>64.76029716324558</v>
      </c>
      <c r="CX26" s="40">
        <f aca="true" t="shared" si="88" ref="CX26:CX92">IF($B26="","",I26*IF($G$14="Sí",IF(OR($D26="R",$D26="RST"),$W26*F26)+SUMIF(INICIO,$B26,IR_cosfi),0))</f>
        <v>0</v>
      </c>
      <c r="CY26" s="40">
        <f aca="true" t="shared" si="89" ref="CY26:CY92">IF($B26="","",I26*IF($H$14="Sí",IF(OR($D26="S",$D26="RST"),$W26*F26)+SUMIF(INICIO,$B26,IS_cosfi),0))</f>
        <v>0</v>
      </c>
      <c r="CZ26" s="40">
        <f t="shared" si="65"/>
        <v>58.28426744692103</v>
      </c>
      <c r="DA26" s="40">
        <f t="shared" si="66"/>
        <v>0</v>
      </c>
    </row>
    <row r="27" spans="1:105" ht="12.75">
      <c r="A27" s="61" t="s">
        <v>14</v>
      </c>
      <c r="B27" s="61" t="s">
        <v>11</v>
      </c>
      <c r="C27" s="61">
        <v>0</v>
      </c>
      <c r="D27" s="61" t="s">
        <v>306</v>
      </c>
      <c r="E27" s="61">
        <v>6000</v>
      </c>
      <c r="F27" s="61">
        <v>0.85</v>
      </c>
      <c r="G27" s="61" t="s">
        <v>318</v>
      </c>
      <c r="H27" s="120" t="s">
        <v>11</v>
      </c>
      <c r="I27" s="61">
        <v>1</v>
      </c>
      <c r="J27" s="61" t="s">
        <v>285</v>
      </c>
      <c r="K27" s="61">
        <v>10</v>
      </c>
      <c r="L27" s="61">
        <v>64</v>
      </c>
      <c r="M27" s="61" t="s">
        <v>285</v>
      </c>
      <c r="N27" s="61">
        <v>10</v>
      </c>
      <c r="O27" s="61">
        <v>64</v>
      </c>
      <c r="P27" s="61" t="s">
        <v>138</v>
      </c>
      <c r="Q27" s="120"/>
      <c r="R27" s="120"/>
      <c r="S27" s="120">
        <v>45</v>
      </c>
      <c r="T27" s="120"/>
      <c r="U27" s="72">
        <f t="shared" si="4"/>
        <v>0</v>
      </c>
      <c r="V27" s="72">
        <f t="shared" si="14"/>
        <v>0</v>
      </c>
      <c r="W27" s="73">
        <f t="shared" si="15"/>
        <v>10.188534162169868</v>
      </c>
      <c r="X27" s="72">
        <f t="shared" si="16"/>
        <v>0</v>
      </c>
      <c r="Y27" s="72">
        <f t="shared" si="17"/>
        <v>0</v>
      </c>
      <c r="Z27" s="72">
        <f t="shared" si="18"/>
        <v>0</v>
      </c>
      <c r="AA27" s="72">
        <f t="shared" si="19"/>
        <v>0</v>
      </c>
      <c r="AB27" s="72">
        <f t="shared" si="20"/>
        <v>0</v>
      </c>
      <c r="AC27" s="72">
        <f t="shared" si="21"/>
        <v>0</v>
      </c>
      <c r="AD27" s="74">
        <f t="shared" si="22"/>
        <v>60.71573107523288</v>
      </c>
      <c r="AE27" s="73">
        <f t="shared" si="67"/>
        <v>12.974816781242083</v>
      </c>
      <c r="AF27" s="40">
        <f t="shared" si="68"/>
        <v>5.296394080270318</v>
      </c>
      <c r="AG27" s="40">
        <f t="shared" si="23"/>
        <v>2.293405910983806</v>
      </c>
      <c r="AH27" s="40">
        <f t="shared" si="24"/>
        <v>7.579939099105104</v>
      </c>
      <c r="AI27" s="260">
        <f t="shared" si="25"/>
        <v>1.894984774776276</v>
      </c>
      <c r="AJ27" s="40">
        <f t="shared" si="5"/>
        <v>8.868027227064498</v>
      </c>
      <c r="AK27" s="40">
        <f t="shared" si="6"/>
        <v>-5.485861045291495</v>
      </c>
      <c r="AL27" s="261">
        <f t="shared" si="26"/>
        <v>10.427683266584383</v>
      </c>
      <c r="AM27" s="40">
        <f t="shared" si="27"/>
        <v>-8.837513283725638</v>
      </c>
      <c r="AN27" s="40">
        <f t="shared" si="28"/>
        <v>-4.6726485767587755</v>
      </c>
      <c r="AO27" s="40">
        <f t="shared" si="29"/>
        <v>9.996763764434615</v>
      </c>
      <c r="AP27" s="40">
        <f t="shared" si="30"/>
        <v>0.3191902483207896</v>
      </c>
      <c r="AQ27" s="40">
        <f t="shared" si="31"/>
        <v>10.059205614527977</v>
      </c>
      <c r="AR27" s="40">
        <f t="shared" si="32"/>
        <v>10.064268478631433</v>
      </c>
      <c r="AS27" s="40">
        <f t="shared" si="33"/>
        <v>0.34970419165965</v>
      </c>
      <c r="AT27" s="40">
        <f t="shared" si="34"/>
        <v>-0.09930400752229396</v>
      </c>
      <c r="AU27" s="40">
        <f t="shared" si="35"/>
        <v>0.36353033927626593</v>
      </c>
      <c r="AV27" s="73">
        <f t="shared" si="69"/>
        <v>225.64363891852454</v>
      </c>
      <c r="AW27" s="73">
        <f t="shared" si="70"/>
        <v>0.18482626286951848</v>
      </c>
      <c r="AX27" s="73">
        <f t="shared" si="71"/>
        <v>-114.47609328591182</v>
      </c>
      <c r="AY27" s="73">
        <f t="shared" si="72"/>
        <v>-195.54987221310597</v>
      </c>
      <c r="AZ27" s="73">
        <f t="shared" si="73"/>
        <v>-113.96128191432904</v>
      </c>
      <c r="BA27" s="73">
        <f t="shared" si="74"/>
        <v>197.61862417182823</v>
      </c>
      <c r="BB27" s="73">
        <f t="shared" si="75"/>
        <v>225.643714614746</v>
      </c>
      <c r="BC27" s="73">
        <f t="shared" si="76"/>
        <v>226.5933107056933</v>
      </c>
      <c r="BD27" s="73">
        <f t="shared" si="77"/>
        <v>228.12341921671145</v>
      </c>
      <c r="BE27" s="73">
        <f t="shared" si="36"/>
        <v>392.42006118736913</v>
      </c>
      <c r="BF27" s="73">
        <f t="shared" si="37"/>
        <v>393.16883342953105</v>
      </c>
      <c r="BG27" s="73">
        <f t="shared" si="38"/>
        <v>392.82516061301914</v>
      </c>
      <c r="BH27" s="73">
        <f t="shared" si="39"/>
        <v>2.293405469671992</v>
      </c>
      <c r="BI27" s="73">
        <f t="shared" si="85"/>
        <v>1.8822183006246018</v>
      </c>
      <c r="BJ27" s="73">
        <f t="shared" si="86"/>
        <v>1.2196618800803556</v>
      </c>
      <c r="BK27" s="40">
        <f t="shared" si="78"/>
        <v>10.188534162169868</v>
      </c>
      <c r="BL27" s="40">
        <f t="shared" si="79"/>
        <v>12.735667702712334</v>
      </c>
      <c r="BM27" s="40">
        <f t="shared" si="80"/>
        <v>388.9990172545115</v>
      </c>
      <c r="BN27" s="40">
        <f t="shared" si="40"/>
        <v>2.750245686372125</v>
      </c>
      <c r="BO27" s="40">
        <f t="shared" si="7"/>
        <v>12.735667702712334</v>
      </c>
      <c r="BP27" s="40">
        <f t="shared" si="41"/>
        <v>394.83238965621115</v>
      </c>
      <c r="BQ27" s="40">
        <f t="shared" si="42"/>
        <v>1.2919025859472129</v>
      </c>
      <c r="BR27" s="40">
        <f t="shared" si="43"/>
        <v>395.2586306287631</v>
      </c>
      <c r="BS27" s="40">
        <f t="shared" si="81"/>
        <v>1.1853423428092213</v>
      </c>
      <c r="BT27" s="40">
        <f t="shared" si="44"/>
        <v>395.7183289772594</v>
      </c>
      <c r="BU27" s="40">
        <f t="shared" si="45"/>
        <v>1.0704177556851562</v>
      </c>
      <c r="BV27" s="75">
        <f t="shared" si="46"/>
        <v>0.01681455888030888</v>
      </c>
      <c r="BW27" s="75">
        <f t="shared" si="47"/>
        <v>0.010049224276061777</v>
      </c>
      <c r="BX27" s="40">
        <f t="shared" si="8"/>
        <v>5.099535885282041</v>
      </c>
      <c r="BY27" s="40">
        <f t="shared" si="48"/>
        <v>1.7091769113481827</v>
      </c>
      <c r="BZ27" s="61"/>
      <c r="CA27" s="73">
        <f t="shared" si="49"/>
        <v>0.0786340728340441</v>
      </c>
      <c r="CB27"/>
      <c r="CC27" s="73">
        <f t="shared" si="50"/>
        <v>10.188534162169868</v>
      </c>
      <c r="CD27" s="73">
        <f t="shared" si="51"/>
        <v>1</v>
      </c>
      <c r="CE27" s="73">
        <f t="shared" si="52"/>
        <v>1</v>
      </c>
      <c r="CF27" s="73">
        <f t="shared" si="53"/>
        <v>1</v>
      </c>
      <c r="CG27" s="73">
        <f t="shared" si="54"/>
        <v>10.188534162169868</v>
      </c>
      <c r="CH27" s="73">
        <f t="shared" si="55"/>
        <v>10.188534162169868</v>
      </c>
      <c r="CI27" s="73">
        <f t="shared" si="56"/>
        <v>10.188534162169868</v>
      </c>
      <c r="CJ27" s="76">
        <f t="shared" si="57"/>
        <v>0</v>
      </c>
      <c r="CK27" s="76">
        <f t="shared" si="82"/>
        <v>0</v>
      </c>
      <c r="CL27" s="76">
        <f t="shared" si="83"/>
        <v>0</v>
      </c>
      <c r="CM27" s="76">
        <f t="shared" si="84"/>
        <v>0</v>
      </c>
      <c r="CN27" s="40">
        <f t="shared" si="9"/>
        <v>8.660254037844387</v>
      </c>
      <c r="CO27" s="40">
        <f t="shared" si="58"/>
        <v>12.97481680712685</v>
      </c>
      <c r="CP27" s="40">
        <f t="shared" si="59"/>
        <v>12.543897304977081</v>
      </c>
      <c r="CQ27" s="40">
        <f t="shared" si="60"/>
        <v>12.6114020191739</v>
      </c>
      <c r="CR27" s="40">
        <f>IF($B27="","",I27*IF($G$14="Sí",IF(OR($D27="R",$D27="RST"),$W27)+SUMIF(INICIO,$B27,I_tramoR),0))</f>
        <v>10.188534162169868</v>
      </c>
      <c r="CS27" s="40">
        <f t="shared" si="87"/>
        <v>10.188534162169868</v>
      </c>
      <c r="CT27" s="40">
        <f t="shared" si="61"/>
        <v>10.188534162169868</v>
      </c>
      <c r="CU27" s="40">
        <f t="shared" si="62"/>
        <v>12.735667702712334</v>
      </c>
      <c r="CV27" s="40">
        <f t="shared" si="63"/>
        <v>12.735667702712334</v>
      </c>
      <c r="CW27" s="40">
        <f t="shared" si="64"/>
        <v>12.735667702712334</v>
      </c>
      <c r="CX27" s="40">
        <f t="shared" si="88"/>
        <v>8.660254037844387</v>
      </c>
      <c r="CY27" s="40">
        <f t="shared" si="89"/>
        <v>8.660254037844387</v>
      </c>
      <c r="CZ27" s="40">
        <f t="shared" si="65"/>
        <v>8.660254037844387</v>
      </c>
      <c r="DA27" s="40">
        <f t="shared" si="66"/>
        <v>0</v>
      </c>
    </row>
    <row r="28" spans="1:105" ht="12.75">
      <c r="A28" s="61" t="s">
        <v>14</v>
      </c>
      <c r="B28" s="61" t="s">
        <v>18</v>
      </c>
      <c r="C28" s="61">
        <v>0</v>
      </c>
      <c r="D28" s="61" t="s">
        <v>306</v>
      </c>
      <c r="E28" s="61">
        <v>14400</v>
      </c>
      <c r="F28" s="61">
        <v>0.9</v>
      </c>
      <c r="G28" s="61" t="s">
        <v>320</v>
      </c>
      <c r="H28" s="120"/>
      <c r="I28" s="61">
        <v>1</v>
      </c>
      <c r="J28" s="61" t="s">
        <v>285</v>
      </c>
      <c r="K28" s="61">
        <v>16</v>
      </c>
      <c r="L28" s="61">
        <v>86</v>
      </c>
      <c r="M28" s="61" t="s">
        <v>285</v>
      </c>
      <c r="N28" s="61">
        <v>16</v>
      </c>
      <c r="O28" s="61">
        <v>86</v>
      </c>
      <c r="P28" s="61" t="s">
        <v>138</v>
      </c>
      <c r="Q28" s="120"/>
      <c r="R28" s="120"/>
      <c r="S28" s="120">
        <v>45</v>
      </c>
      <c r="T28" s="120"/>
      <c r="U28" s="72">
        <f aca="true" t="shared" si="90" ref="U28:U84">IF(A28="","",1.02*C28/K28*SUMIF(Tipo_cable,J28,Resis_20_C))</f>
        <v>0</v>
      </c>
      <c r="V28" s="72">
        <f t="shared" si="14"/>
        <v>0</v>
      </c>
      <c r="W28" s="73">
        <f t="shared" si="15"/>
        <v>23.09401076758503</v>
      </c>
      <c r="X28" s="72">
        <f t="shared" si="16"/>
        <v>0</v>
      </c>
      <c r="Y28" s="72">
        <f t="shared" si="17"/>
        <v>0</v>
      </c>
      <c r="Z28" s="72">
        <f t="shared" si="18"/>
        <v>0</v>
      </c>
      <c r="AA28" s="72">
        <f t="shared" si="19"/>
        <v>0</v>
      </c>
      <c r="AB28" s="72">
        <f t="shared" si="20"/>
        <v>0</v>
      </c>
      <c r="AC28" s="72">
        <f t="shared" si="21"/>
        <v>0</v>
      </c>
      <c r="AD28" s="74">
        <f t="shared" si="22"/>
        <v>81.58676363234419</v>
      </c>
      <c r="AE28" s="73">
        <f t="shared" si="67"/>
        <v>22.812342306286798</v>
      </c>
      <c r="AF28" s="40">
        <f t="shared" si="68"/>
        <v>5.296394080270318</v>
      </c>
      <c r="AG28" s="40">
        <f t="shared" si="23"/>
        <v>2.293405910983806</v>
      </c>
      <c r="AH28" s="40">
        <f t="shared" si="24"/>
        <v>7.579939099105104</v>
      </c>
      <c r="AI28" s="260">
        <f t="shared" si="25"/>
        <v>1.894984774776276</v>
      </c>
      <c r="AJ28" s="40">
        <f t="shared" si="5"/>
        <v>20.31598374796337</v>
      </c>
      <c r="AK28" s="40">
        <f t="shared" si="6"/>
        <v>-9.818943894560627</v>
      </c>
      <c r="AL28" s="261">
        <f t="shared" si="26"/>
        <v>22.564371359557995</v>
      </c>
      <c r="AM28" s="40">
        <f t="shared" si="27"/>
        <v>-18.82666982628207</v>
      </c>
      <c r="AN28" s="40">
        <f t="shared" si="28"/>
        <v>-12.609591335788329</v>
      </c>
      <c r="AO28" s="40">
        <f t="shared" si="29"/>
        <v>22.659331199385118</v>
      </c>
      <c r="AP28" s="40">
        <f t="shared" si="30"/>
        <v>-1.6425193849594844</v>
      </c>
      <c r="AQ28" s="40">
        <f t="shared" si="31"/>
        <v>22.753133242336098</v>
      </c>
      <c r="AR28" s="40">
        <f t="shared" si="32"/>
        <v>22.812341884897915</v>
      </c>
      <c r="AS28" s="40">
        <f t="shared" si="33"/>
        <v>-0.15320546327818674</v>
      </c>
      <c r="AT28" s="40">
        <f t="shared" si="34"/>
        <v>0.3245980119871419</v>
      </c>
      <c r="AU28" s="40">
        <f t="shared" si="35"/>
        <v>0.35893701865966476</v>
      </c>
      <c r="AV28" s="73">
        <f t="shared" si="69"/>
        <v>225.64363891852454</v>
      </c>
      <c r="AW28" s="73">
        <f t="shared" si="70"/>
        <v>0.18482626286951848</v>
      </c>
      <c r="AX28" s="73">
        <f t="shared" si="71"/>
        <v>-114.47609328591182</v>
      </c>
      <c r="AY28" s="73">
        <f t="shared" si="72"/>
        <v>-195.54987221310597</v>
      </c>
      <c r="AZ28" s="73">
        <f t="shared" si="73"/>
        <v>-113.96128191432904</v>
      </c>
      <c r="BA28" s="73">
        <f t="shared" si="74"/>
        <v>197.61862417182823</v>
      </c>
      <c r="BB28" s="73">
        <f t="shared" si="75"/>
        <v>225.643714614746</v>
      </c>
      <c r="BC28" s="73">
        <f t="shared" si="76"/>
        <v>226.5933107056933</v>
      </c>
      <c r="BD28" s="73">
        <f t="shared" si="77"/>
        <v>228.12341921671145</v>
      </c>
      <c r="BE28" s="73">
        <f t="shared" si="36"/>
        <v>392.42006118736913</v>
      </c>
      <c r="BF28" s="73">
        <f t="shared" si="37"/>
        <v>393.16883342953105</v>
      </c>
      <c r="BG28" s="73">
        <f t="shared" si="38"/>
        <v>392.82516061301914</v>
      </c>
      <c r="BH28" s="73">
        <f t="shared" si="39"/>
        <v>2.293405469671992</v>
      </c>
      <c r="BI28" s="73">
        <f t="shared" si="85"/>
        <v>1.8822183006246018</v>
      </c>
      <c r="BJ28" s="73">
        <f t="shared" si="86"/>
        <v>1.2196618800803556</v>
      </c>
      <c r="BK28" s="40">
        <f t="shared" si="78"/>
        <v>23.09401076758503</v>
      </c>
      <c r="BL28" s="40">
        <f t="shared" si="79"/>
        <v>23.09401076758503</v>
      </c>
      <c r="BM28" s="40">
        <f t="shared" si="80"/>
        <v>388.9990172545115</v>
      </c>
      <c r="BN28" s="40">
        <f t="shared" si="40"/>
        <v>2.750245686372125</v>
      </c>
      <c r="BO28" s="40">
        <f t="shared" si="7"/>
        <v>23.09401076758503</v>
      </c>
      <c r="BP28" s="40">
        <f t="shared" si="41"/>
        <v>394.83238965621115</v>
      </c>
      <c r="BQ28" s="40">
        <f t="shared" si="42"/>
        <v>1.2919025859472129</v>
      </c>
      <c r="BR28" s="40">
        <f t="shared" si="43"/>
        <v>395.2586306287631</v>
      </c>
      <c r="BS28" s="40">
        <f t="shared" si="81"/>
        <v>1.1853423428092213</v>
      </c>
      <c r="BT28" s="40">
        <f t="shared" si="44"/>
        <v>395.7183289772594</v>
      </c>
      <c r="BU28" s="40">
        <f t="shared" si="45"/>
        <v>1.0704177556851562</v>
      </c>
      <c r="BV28" s="75">
        <f t="shared" si="46"/>
        <v>0.01681455888030888</v>
      </c>
      <c r="BW28" s="75">
        <f t="shared" si="47"/>
        <v>0.010049224276061777</v>
      </c>
      <c r="BX28" s="40">
        <f t="shared" si="8"/>
        <v>5.099535885282041</v>
      </c>
      <c r="BY28" s="40">
        <f t="shared" si="48"/>
        <v>2.7346830581570925</v>
      </c>
      <c r="BZ28" s="61"/>
      <c r="CA28" s="73">
        <f t="shared" si="49"/>
        <v>0.20130322645515286</v>
      </c>
      <c r="CB28" s="84"/>
      <c r="CC28" s="73">
        <f t="shared" si="50"/>
        <v>0</v>
      </c>
      <c r="CD28" s="73">
        <f aca="true" t="shared" si="91" ref="CD28:CD91">IF(A28="","",IF(OR($D28="R",$D28="RST"),1,0))</f>
        <v>1</v>
      </c>
      <c r="CE28" s="73">
        <f aca="true" t="shared" si="92" ref="CE28:CE91">IF(A28="","",IF(OR($D28="S",$D28="RST"),1,0))</f>
        <v>1</v>
      </c>
      <c r="CF28" s="73">
        <f aca="true" t="shared" si="93" ref="CF28:CF91">IF(A28="","",IF(OR($D28="T",$D28="RST"),1,0))</f>
        <v>1</v>
      </c>
      <c r="CG28" s="73">
        <f t="shared" si="54"/>
        <v>0</v>
      </c>
      <c r="CH28" s="73">
        <f t="shared" si="55"/>
        <v>0</v>
      </c>
      <c r="CI28" s="73">
        <f t="shared" si="56"/>
        <v>0</v>
      </c>
      <c r="CJ28" s="76">
        <f t="shared" si="57"/>
        <v>0</v>
      </c>
      <c r="CK28" s="76">
        <f t="shared" si="82"/>
        <v>0</v>
      </c>
      <c r="CL28" s="76">
        <f t="shared" si="83"/>
        <v>0</v>
      </c>
      <c r="CM28" s="76">
        <f t="shared" si="84"/>
        <v>0</v>
      </c>
      <c r="CN28" s="40">
        <f t="shared" si="9"/>
        <v>20.784609690826528</v>
      </c>
      <c r="CO28" s="40">
        <f aca="true" t="shared" si="94" ref="CO28:CO91">IF(B28="","",AL28-CG28+1.25*CG28)</f>
        <v>22.564371359557995</v>
      </c>
      <c r="CP28" s="40">
        <f aca="true" t="shared" si="95" ref="CP28:CP91">IF(B28="","",AO28-CH28+1.25*CH28)</f>
        <v>22.659331199385118</v>
      </c>
      <c r="CQ28" s="40">
        <f aca="true" t="shared" si="96" ref="CQ28:CQ91">IF(B28="","",AR28-CI28+1.25*CI28)</f>
        <v>22.812341884897915</v>
      </c>
      <c r="CR28" s="40">
        <f aca="true" t="shared" si="97" ref="CR28:CR91">IF($B28="","",I28*IF($G$14="Sí",IF(OR($D28="R",$D28="RST"),$W28)+SUMIF(INICIO,$B28,I_tramoR),0))</f>
        <v>23.09401076758503</v>
      </c>
      <c r="CS28" s="40">
        <f t="shared" si="87"/>
        <v>23.09401076758503</v>
      </c>
      <c r="CT28" s="40">
        <f t="shared" si="61"/>
        <v>23.09401076758503</v>
      </c>
      <c r="CU28" s="40">
        <f t="shared" si="62"/>
        <v>23.09401076758503</v>
      </c>
      <c r="CV28" s="40">
        <f t="shared" si="63"/>
        <v>23.09401076758503</v>
      </c>
      <c r="CW28" s="40">
        <f t="shared" si="64"/>
        <v>23.09401076758503</v>
      </c>
      <c r="CX28" s="40">
        <f t="shared" si="88"/>
        <v>20.784609690826528</v>
      </c>
      <c r="CY28" s="40">
        <f t="shared" si="89"/>
        <v>20.784609690826528</v>
      </c>
      <c r="CZ28" s="40">
        <f aca="true" t="shared" si="98" ref="CZ28:CZ94">IF($B28="","",I28*IF($I$14="Sí",IF(OR($D28="T",$D28="RST"),$W28*F28)+SUMIF(INICIO,$B28,IT_cosfi),0))</f>
        <v>20.784609690826528</v>
      </c>
      <c r="DA28" s="40">
        <f t="shared" si="66"/>
        <v>0</v>
      </c>
    </row>
    <row r="29" spans="1:105" ht="12.75">
      <c r="A29" s="61" t="s">
        <v>12</v>
      </c>
      <c r="B29" s="61" t="s">
        <v>19</v>
      </c>
      <c r="C29" s="61">
        <v>100</v>
      </c>
      <c r="D29" s="61"/>
      <c r="E29" s="61"/>
      <c r="F29" s="61"/>
      <c r="G29" s="61"/>
      <c r="H29" s="120" t="s">
        <v>20</v>
      </c>
      <c r="I29" s="61">
        <v>1</v>
      </c>
      <c r="J29" s="61" t="s">
        <v>292</v>
      </c>
      <c r="K29" s="61">
        <v>185</v>
      </c>
      <c r="L29" s="61">
        <v>375</v>
      </c>
      <c r="M29" s="61" t="s">
        <v>292</v>
      </c>
      <c r="N29" s="61">
        <v>95</v>
      </c>
      <c r="O29" s="61">
        <v>260</v>
      </c>
      <c r="P29" s="61" t="s">
        <v>139</v>
      </c>
      <c r="Q29" s="120"/>
      <c r="R29" s="120"/>
      <c r="S29" s="120"/>
      <c r="T29" s="120">
        <v>0.8</v>
      </c>
      <c r="U29" s="72">
        <f t="shared" si="90"/>
        <v>0.01598918918918919</v>
      </c>
      <c r="V29" s="72">
        <f t="shared" si="14"/>
        <v>0.03113684210526316</v>
      </c>
      <c r="W29" s="73">
        <f t="shared" si="15"/>
        <v>0</v>
      </c>
      <c r="X29" s="72">
        <f t="shared" si="16"/>
        <v>0.017397326174293966</v>
      </c>
      <c r="Y29" s="72">
        <f t="shared" si="17"/>
        <v>0.017387308210731277</v>
      </c>
      <c r="Z29" s="72">
        <f t="shared" si="18"/>
        <v>0.017024677804170725</v>
      </c>
      <c r="AA29" s="72">
        <f t="shared" si="19"/>
        <v>0.03182926029067375</v>
      </c>
      <c r="AB29" s="72">
        <f t="shared" si="20"/>
        <v>0.015029837837837838</v>
      </c>
      <c r="AC29" s="72">
        <f t="shared" si="21"/>
        <v>0.007939894736842106</v>
      </c>
      <c r="AD29" s="74">
        <f t="shared" si="22"/>
        <v>300</v>
      </c>
      <c r="AE29" s="73">
        <f t="shared" si="67"/>
        <v>154.88087446434878</v>
      </c>
      <c r="AF29" s="40">
        <f t="shared" si="68"/>
        <v>7.646006872923891</v>
      </c>
      <c r="AG29" s="40">
        <f t="shared" si="23"/>
        <v>3.310818094731253</v>
      </c>
      <c r="AH29" s="40">
        <f t="shared" si="24"/>
        <v>11.826865522115611</v>
      </c>
      <c r="AI29" s="260">
        <f t="shared" si="25"/>
        <v>2.9567163805289027</v>
      </c>
      <c r="AJ29" s="40">
        <f t="shared" si="5"/>
        <v>137.19596653471854</v>
      </c>
      <c r="AK29" s="40">
        <f t="shared" si="6"/>
        <v>-67.17403363619685</v>
      </c>
      <c r="AL29" s="261">
        <f t="shared" si="26"/>
        <v>152.75825355231223</v>
      </c>
      <c r="AM29" s="40">
        <f t="shared" si="27"/>
        <v>-127.34814025314718</v>
      </c>
      <c r="AN29" s="40">
        <f t="shared" si="28"/>
        <v>-83.0799780545631</v>
      </c>
      <c r="AO29" s="40">
        <f t="shared" si="29"/>
        <v>152.05206864584883</v>
      </c>
      <c r="AP29" s="40">
        <f t="shared" si="30"/>
        <v>-7.376904661517138</v>
      </c>
      <c r="AQ29" s="40">
        <f t="shared" si="31"/>
        <v>123.58464390966373</v>
      </c>
      <c r="AR29" s="40">
        <f t="shared" si="32"/>
        <v>123.80461595862852</v>
      </c>
      <c r="AS29" s="40">
        <f t="shared" si="33"/>
        <v>2.47092162005422</v>
      </c>
      <c r="AT29" s="40">
        <f t="shared" si="34"/>
        <v>-26.66936778109624</v>
      </c>
      <c r="AU29" s="40">
        <f t="shared" si="35"/>
        <v>26.7835888464527</v>
      </c>
      <c r="AV29" s="73">
        <f t="shared" si="69"/>
        <v>223.29393313295736</v>
      </c>
      <c r="AW29" s="73">
        <f t="shared" si="70"/>
        <v>-0.27554379675226626</v>
      </c>
      <c r="AX29" s="73">
        <f t="shared" si="71"/>
        <v>-114.17614084919175</v>
      </c>
      <c r="AY29" s="73">
        <f t="shared" si="72"/>
        <v>-192.08881677499608</v>
      </c>
      <c r="AZ29" s="73">
        <f t="shared" si="73"/>
        <v>-112.22176469674534</v>
      </c>
      <c r="BA29" s="73">
        <f t="shared" si="74"/>
        <v>197.2425707129171</v>
      </c>
      <c r="BB29" s="73">
        <f t="shared" si="75"/>
        <v>223.29410314284962</v>
      </c>
      <c r="BC29" s="73">
        <f t="shared" si="76"/>
        <v>223.45985023988646</v>
      </c>
      <c r="BD29" s="73">
        <f t="shared" si="77"/>
        <v>226.93249254589298</v>
      </c>
      <c r="BE29" s="73">
        <f t="shared" si="36"/>
        <v>388.1731347274609</v>
      </c>
      <c r="BF29" s="73">
        <f t="shared" si="37"/>
        <v>389.3362927719542</v>
      </c>
      <c r="BG29" s="73">
        <f t="shared" si="38"/>
        <v>389.33814229999</v>
      </c>
      <c r="BH29" s="73">
        <f t="shared" si="39"/>
        <v>3.310817081514792</v>
      </c>
      <c r="BI29" s="73">
        <f t="shared" si="85"/>
        <v>3.239046483196077</v>
      </c>
      <c r="BJ29" s="73">
        <f t="shared" si="86"/>
        <v>1.735348255566967</v>
      </c>
      <c r="BK29" s="40">
        <f t="shared" si="78"/>
        <v>333.61832102604893</v>
      </c>
      <c r="BL29" s="40">
        <f t="shared" si="79"/>
        <v>335.7409323098343</v>
      </c>
      <c r="BM29" s="40">
        <f t="shared" si="80"/>
        <v>383.8209272281515</v>
      </c>
      <c r="BN29" s="40">
        <f t="shared" si="40"/>
        <v>4.044768192962124</v>
      </c>
      <c r="BO29" s="40">
        <f t="shared" si="7"/>
        <v>160.41755341528994</v>
      </c>
      <c r="BP29" s="40">
        <f t="shared" si="41"/>
        <v>392.3678271635181</v>
      </c>
      <c r="BQ29" s="40">
        <f t="shared" si="42"/>
        <v>1.9080432091204784</v>
      </c>
      <c r="BR29" s="40">
        <f t="shared" si="43"/>
        <v>392.57150188023076</v>
      </c>
      <c r="BS29" s="40">
        <f t="shared" si="81"/>
        <v>1.8571245299423111</v>
      </c>
      <c r="BT29" s="40">
        <f t="shared" si="44"/>
        <v>393.8265360762946</v>
      </c>
      <c r="BU29" s="40">
        <f t="shared" si="45"/>
        <v>1.5433659809263531</v>
      </c>
      <c r="BV29" s="75">
        <f t="shared" si="46"/>
        <v>0.024600033783783785</v>
      </c>
      <c r="BW29" s="75">
        <f t="shared" si="47"/>
        <v>0.023290419256756754</v>
      </c>
      <c r="BX29" s="40">
        <f t="shared" si="8"/>
        <v>5.609274458579577</v>
      </c>
      <c r="BY29" s="40">
        <f t="shared" si="48"/>
        <v>20.785025516325106</v>
      </c>
      <c r="BZ29" s="61"/>
      <c r="CA29" s="73">
        <f t="shared" si="49"/>
        <v>9.611380781836973</v>
      </c>
      <c r="CB29" s="84"/>
      <c r="CC29" s="73">
        <f t="shared" si="50"/>
        <v>8.490445135141556</v>
      </c>
      <c r="CD29" s="73">
        <f t="shared" si="91"/>
        <v>0</v>
      </c>
      <c r="CE29" s="73">
        <f t="shared" si="92"/>
        <v>0</v>
      </c>
      <c r="CF29" s="73">
        <f t="shared" si="93"/>
        <v>0</v>
      </c>
      <c r="CG29" s="73">
        <f t="shared" si="54"/>
        <v>8.490445135141556</v>
      </c>
      <c r="CH29" s="73">
        <f t="shared" si="55"/>
        <v>8.490445135141556</v>
      </c>
      <c r="CI29" s="73">
        <f t="shared" si="56"/>
        <v>8.490445135141556</v>
      </c>
      <c r="CJ29" s="76">
        <f t="shared" si="57"/>
        <v>0</v>
      </c>
      <c r="CK29" s="76">
        <f t="shared" si="82"/>
        <v>300</v>
      </c>
      <c r="CL29" s="76">
        <f t="shared" si="83"/>
        <v>0</v>
      </c>
      <c r="CM29" s="76">
        <f t="shared" si="84"/>
        <v>0</v>
      </c>
      <c r="CN29" s="40">
        <f t="shared" si="9"/>
        <v>299.831966666687</v>
      </c>
      <c r="CO29" s="40">
        <f t="shared" si="94"/>
        <v>154.8808648360976</v>
      </c>
      <c r="CP29" s="40">
        <f t="shared" si="95"/>
        <v>154.17467992963424</v>
      </c>
      <c r="CQ29" s="40">
        <f t="shared" si="96"/>
        <v>125.9272272424139</v>
      </c>
      <c r="CR29" s="40">
        <f t="shared" si="97"/>
        <v>158.29494213150454</v>
      </c>
      <c r="CS29" s="40">
        <f t="shared" si="87"/>
        <v>158.29494213150454</v>
      </c>
      <c r="CT29" s="40">
        <f t="shared" si="61"/>
        <v>126.38537010366312</v>
      </c>
      <c r="CU29" s="40">
        <f aca="true" t="shared" si="99" ref="CU29:CU92">IF(B29="","",CR29-CG29+1.25*CG29)</f>
        <v>160.41755341528994</v>
      </c>
      <c r="CV29" s="40">
        <f aca="true" t="shared" si="100" ref="CV29:CV92">IF(B29="","",CS29-CH29+1.25*CH29)</f>
        <v>160.41755341528994</v>
      </c>
      <c r="CW29" s="40">
        <f aca="true" t="shared" si="101" ref="CW29:CW92">IF(B29="","",CT29-CI29+1.25*CI29)</f>
        <v>128.50798138744852</v>
      </c>
      <c r="CX29" s="40">
        <f t="shared" si="88"/>
        <v>142.04092566159702</v>
      </c>
      <c r="CY29" s="40">
        <f t="shared" si="89"/>
        <v>142.04092566159702</v>
      </c>
      <c r="CZ29" s="40">
        <f t="shared" si="98"/>
        <v>113.32231083653974</v>
      </c>
      <c r="DA29" s="40">
        <f t="shared" si="66"/>
        <v>1068.906866543759</v>
      </c>
    </row>
    <row r="30" spans="1:105" ht="12.75">
      <c r="A30" s="61" t="s">
        <v>19</v>
      </c>
      <c r="B30" s="61" t="s">
        <v>21</v>
      </c>
      <c r="C30" s="61">
        <v>6</v>
      </c>
      <c r="D30" s="61"/>
      <c r="E30" s="61"/>
      <c r="F30" s="61"/>
      <c r="G30" s="61"/>
      <c r="H30" s="120" t="s">
        <v>20</v>
      </c>
      <c r="I30" s="61">
        <v>1</v>
      </c>
      <c r="J30" s="61" t="s">
        <v>292</v>
      </c>
      <c r="K30" s="61">
        <v>70</v>
      </c>
      <c r="L30" s="61">
        <v>220</v>
      </c>
      <c r="M30" s="61" t="s">
        <v>292</v>
      </c>
      <c r="N30" s="61">
        <v>35</v>
      </c>
      <c r="O30" s="61">
        <v>150</v>
      </c>
      <c r="P30" s="61" t="s">
        <v>139</v>
      </c>
      <c r="Q30" s="120"/>
      <c r="R30" s="120"/>
      <c r="S30" s="120"/>
      <c r="T30" s="120">
        <v>0.8</v>
      </c>
      <c r="U30" s="72">
        <f t="shared" si="90"/>
        <v>0.0025354285714285713</v>
      </c>
      <c r="V30" s="72">
        <f t="shared" si="14"/>
        <v>0.005070857142857143</v>
      </c>
      <c r="W30" s="73">
        <f t="shared" si="15"/>
        <v>0</v>
      </c>
      <c r="X30" s="72">
        <f t="shared" si="16"/>
        <v>0.0030868443145082632</v>
      </c>
      <c r="Y30" s="72">
        <f t="shared" si="17"/>
        <v>0.0030822290930180483</v>
      </c>
      <c r="Z30" s="72">
        <f t="shared" si="18"/>
        <v>0.002915155716614708</v>
      </c>
      <c r="AA30" s="72">
        <f t="shared" si="19"/>
        <v>0.005203796731120647</v>
      </c>
      <c r="AB30" s="72">
        <f t="shared" si="20"/>
        <v>0.0009634628571428571</v>
      </c>
      <c r="AC30" s="72">
        <f t="shared" si="21"/>
        <v>0.0005070857142857142</v>
      </c>
      <c r="AD30" s="74">
        <f t="shared" si="22"/>
        <v>176</v>
      </c>
      <c r="AE30" s="73">
        <f t="shared" si="67"/>
        <v>154.8808648360976</v>
      </c>
      <c r="AF30" s="40">
        <f t="shared" si="68"/>
        <v>8.1607721371345</v>
      </c>
      <c r="AG30" s="40">
        <f t="shared" si="23"/>
        <v>3.5337179926273508</v>
      </c>
      <c r="AH30" s="40">
        <f t="shared" si="24"/>
        <v>12.672969745634816</v>
      </c>
      <c r="AI30" s="260">
        <f t="shared" si="25"/>
        <v>3.168242436408704</v>
      </c>
      <c r="AJ30" s="40">
        <f t="shared" si="5"/>
        <v>137.1959457644894</v>
      </c>
      <c r="AK30" s="40">
        <f t="shared" si="6"/>
        <v>-67.17406039680714</v>
      </c>
      <c r="AL30" s="261">
        <f t="shared" si="26"/>
        <v>152.7582466657909</v>
      </c>
      <c r="AM30" s="40">
        <f t="shared" si="27"/>
        <v>-127.3481628353168</v>
      </c>
      <c r="AN30" s="40">
        <f t="shared" si="28"/>
        <v>-83.0800043756983</v>
      </c>
      <c r="AO30" s="40">
        <f t="shared" si="29"/>
        <v>152.05210194073746</v>
      </c>
      <c r="AP30" s="40">
        <f t="shared" si="30"/>
        <v>-7.376921535758069</v>
      </c>
      <c r="AQ30" s="40">
        <f t="shared" si="31"/>
        <v>123.5846237904852</v>
      </c>
      <c r="AR30" s="40">
        <f t="shared" si="32"/>
        <v>123.80459688065096</v>
      </c>
      <c r="AS30" s="40">
        <f t="shared" si="33"/>
        <v>2.4708613934145403</v>
      </c>
      <c r="AT30" s="40">
        <f t="shared" si="34"/>
        <v>-26.669440982020248</v>
      </c>
      <c r="AU30" s="40">
        <f t="shared" si="35"/>
        <v>26.78365617907547</v>
      </c>
      <c r="AV30" s="73">
        <f t="shared" si="69"/>
        <v>222.77932934267278</v>
      </c>
      <c r="AW30" s="73">
        <f t="shared" si="70"/>
        <v>-0.06284171694014751</v>
      </c>
      <c r="AX30" s="73">
        <f t="shared" si="71"/>
        <v>-113.89005068811765</v>
      </c>
      <c r="AY30" s="73">
        <f t="shared" si="72"/>
        <v>-191.57252053235555</v>
      </c>
      <c r="AZ30" s="73">
        <f t="shared" si="73"/>
        <v>-112.10757217999532</v>
      </c>
      <c r="BA30" s="73">
        <f t="shared" si="74"/>
        <v>197.02693909157682</v>
      </c>
      <c r="BB30" s="73">
        <f t="shared" si="75"/>
        <v>222.7793382058858</v>
      </c>
      <c r="BC30" s="73">
        <f t="shared" si="76"/>
        <v>222.8698594894828</v>
      </c>
      <c r="BD30" s="73">
        <f t="shared" si="77"/>
        <v>226.68860242166738</v>
      </c>
      <c r="BE30" s="73">
        <f t="shared" si="36"/>
        <v>387.3270304668916</v>
      </c>
      <c r="BF30" s="73">
        <f t="shared" si="37"/>
        <v>388.60354765447545</v>
      </c>
      <c r="BG30" s="73">
        <f t="shared" si="38"/>
        <v>388.57897332537493</v>
      </c>
      <c r="BH30" s="73">
        <f t="shared" si="39"/>
        <v>3.5337168377088712</v>
      </c>
      <c r="BI30" s="73">
        <f t="shared" si="85"/>
        <v>3.494519972119789</v>
      </c>
      <c r="BJ30" s="73">
        <f t="shared" si="86"/>
        <v>1.8409557772227234</v>
      </c>
      <c r="BK30" s="40">
        <f t="shared" si="78"/>
        <v>333.61832102604893</v>
      </c>
      <c r="BL30" s="40">
        <f t="shared" si="79"/>
        <v>335.7409323098343</v>
      </c>
      <c r="BM30" s="40">
        <f t="shared" si="80"/>
        <v>382.50421781363724</v>
      </c>
      <c r="BN30" s="40">
        <f t="shared" si="40"/>
        <v>4.37394554659069</v>
      </c>
      <c r="BO30" s="40">
        <f t="shared" si="7"/>
        <v>160.41755341528994</v>
      </c>
      <c r="BP30" s="40">
        <f t="shared" si="41"/>
        <v>391.74405570197524</v>
      </c>
      <c r="BQ30" s="40">
        <f t="shared" si="42"/>
        <v>2.0639860745061895</v>
      </c>
      <c r="BR30" s="40">
        <f t="shared" si="43"/>
        <v>391.9477304186879</v>
      </c>
      <c r="BS30" s="40">
        <f t="shared" si="81"/>
        <v>2.0130673953280223</v>
      </c>
      <c r="BT30" s="40">
        <f t="shared" si="44"/>
        <v>393.3288821562946</v>
      </c>
      <c r="BU30" s="40">
        <f t="shared" si="45"/>
        <v>1.6677794609263543</v>
      </c>
      <c r="BV30" s="75">
        <f t="shared" si="46"/>
        <v>0.027135462355212355</v>
      </c>
      <c r="BW30" s="75">
        <f t="shared" si="47"/>
        <v>0.024253882113899613</v>
      </c>
      <c r="BX30" s="40">
        <f t="shared" si="8"/>
        <v>3.8161795667882727</v>
      </c>
      <c r="BY30" s="40">
        <f t="shared" si="48"/>
        <v>7.86460424942031</v>
      </c>
      <c r="BZ30" s="61"/>
      <c r="CA30" s="73">
        <f t="shared" si="49"/>
        <v>2.972995032502186</v>
      </c>
      <c r="CB30" s="84"/>
      <c r="CC30" s="73">
        <f t="shared" si="50"/>
        <v>8.490445135141556</v>
      </c>
      <c r="CD30" s="73">
        <f t="shared" si="91"/>
        <v>0</v>
      </c>
      <c r="CE30" s="73">
        <f t="shared" si="92"/>
        <v>0</v>
      </c>
      <c r="CF30" s="73">
        <f t="shared" si="93"/>
        <v>0</v>
      </c>
      <c r="CG30" s="73">
        <f t="shared" si="54"/>
        <v>8.490445135141556</v>
      </c>
      <c r="CH30" s="73">
        <f t="shared" si="55"/>
        <v>8.490445135141556</v>
      </c>
      <c r="CI30" s="73">
        <f t="shared" si="56"/>
        <v>8.490445135141556</v>
      </c>
      <c r="CJ30" s="76">
        <f t="shared" si="57"/>
        <v>0</v>
      </c>
      <c r="CK30" s="76">
        <f t="shared" si="82"/>
        <v>18</v>
      </c>
      <c r="CL30" s="76">
        <f t="shared" si="83"/>
        <v>0</v>
      </c>
      <c r="CM30" s="76">
        <f t="shared" si="84"/>
        <v>0</v>
      </c>
      <c r="CN30" s="40">
        <f t="shared" si="9"/>
        <v>299.831966666687</v>
      </c>
      <c r="CO30" s="40">
        <f t="shared" si="94"/>
        <v>154.8808579495763</v>
      </c>
      <c r="CP30" s="40">
        <f t="shared" si="95"/>
        <v>154.17471322452286</v>
      </c>
      <c r="CQ30" s="40">
        <f t="shared" si="96"/>
        <v>125.92720816443635</v>
      </c>
      <c r="CR30" s="40">
        <f t="shared" si="97"/>
        <v>158.29494213150454</v>
      </c>
      <c r="CS30" s="40">
        <f t="shared" si="87"/>
        <v>158.29494213150454</v>
      </c>
      <c r="CT30" s="40">
        <f t="shared" si="61"/>
        <v>126.38537010366312</v>
      </c>
      <c r="CU30" s="40">
        <f t="shared" si="99"/>
        <v>160.41755341528994</v>
      </c>
      <c r="CV30" s="40">
        <f t="shared" si="100"/>
        <v>160.41755341528994</v>
      </c>
      <c r="CW30" s="40">
        <f t="shared" si="101"/>
        <v>128.50798138744852</v>
      </c>
      <c r="CX30" s="40">
        <f t="shared" si="88"/>
        <v>142.04092566159702</v>
      </c>
      <c r="CY30" s="40">
        <f t="shared" si="89"/>
        <v>142.04092566159702</v>
      </c>
      <c r="CZ30" s="40">
        <f t="shared" si="98"/>
        <v>113.32231083653974</v>
      </c>
      <c r="DA30" s="40">
        <f t="shared" si="66"/>
        <v>187.97469093200363</v>
      </c>
    </row>
    <row r="31" spans="1:105" ht="12.75">
      <c r="A31" s="61" t="s">
        <v>21</v>
      </c>
      <c r="B31" s="61" t="s">
        <v>22</v>
      </c>
      <c r="C31" s="61">
        <v>12</v>
      </c>
      <c r="D31" s="61"/>
      <c r="E31" s="61"/>
      <c r="F31" s="61"/>
      <c r="G31" s="61"/>
      <c r="H31" s="120" t="s">
        <v>20</v>
      </c>
      <c r="I31" s="61">
        <v>1</v>
      </c>
      <c r="J31" s="61" t="s">
        <v>286</v>
      </c>
      <c r="K31" s="61">
        <v>50</v>
      </c>
      <c r="L31" s="61">
        <v>230</v>
      </c>
      <c r="M31" s="61" t="s">
        <v>286</v>
      </c>
      <c r="N31" s="61">
        <v>25</v>
      </c>
      <c r="O31" s="61">
        <v>160</v>
      </c>
      <c r="P31" s="61" t="s">
        <v>138</v>
      </c>
      <c r="Q31" s="120"/>
      <c r="R31" s="120"/>
      <c r="S31" s="120"/>
      <c r="T31" s="120">
        <v>0.8</v>
      </c>
      <c r="U31" s="72">
        <f t="shared" si="90"/>
        <v>0.0044063999999999996</v>
      </c>
      <c r="V31" s="72">
        <f t="shared" si="14"/>
        <v>0.008812799999999999</v>
      </c>
      <c r="W31" s="73">
        <f t="shared" si="15"/>
        <v>0</v>
      </c>
      <c r="X31" s="72">
        <f t="shared" si="16"/>
        <v>0.005266615866272639</v>
      </c>
      <c r="Y31" s="72">
        <f t="shared" si="17"/>
        <v>0.005259477955362761</v>
      </c>
      <c r="Z31" s="72">
        <f t="shared" si="18"/>
        <v>0.005001066759404672</v>
      </c>
      <c r="AA31" s="72">
        <f t="shared" si="19"/>
        <v>0.009033110110569164</v>
      </c>
      <c r="AB31" s="72">
        <f t="shared" si="20"/>
        <v>0.0011015999999999999</v>
      </c>
      <c r="AC31" s="72">
        <f t="shared" si="21"/>
        <v>0.0006609599999999999</v>
      </c>
      <c r="AD31" s="74">
        <f t="shared" si="22"/>
        <v>184</v>
      </c>
      <c r="AE31" s="73">
        <f t="shared" si="67"/>
        <v>154.8808579495763</v>
      </c>
      <c r="AF31" s="40">
        <f t="shared" si="68"/>
        <v>9.047182596420242</v>
      </c>
      <c r="AG31" s="40">
        <f t="shared" si="23"/>
        <v>3.917544980588193</v>
      </c>
      <c r="AH31" s="40">
        <f t="shared" si="24"/>
        <v>14.053035149573589</v>
      </c>
      <c r="AI31" s="260">
        <f t="shared" si="25"/>
        <v>3.513258787393397</v>
      </c>
      <c r="AJ31" s="40">
        <f t="shared" si="5"/>
        <v>137.1959364163452</v>
      </c>
      <c r="AK31" s="40">
        <f t="shared" si="6"/>
        <v>-67.17407360301881</v>
      </c>
      <c r="AL31" s="261">
        <f t="shared" si="26"/>
        <v>152.75824407730545</v>
      </c>
      <c r="AM31" s="40">
        <f t="shared" si="27"/>
        <v>-127.34817360774124</v>
      </c>
      <c r="AN31" s="40">
        <f t="shared" si="28"/>
        <v>-83.08001753724584</v>
      </c>
      <c r="AO31" s="40">
        <f t="shared" si="29"/>
        <v>152.05211815432392</v>
      </c>
      <c r="AP31" s="40">
        <f t="shared" si="30"/>
        <v>-7.376929204401629</v>
      </c>
      <c r="AQ31" s="40">
        <f t="shared" si="31"/>
        <v>123.58461355713405</v>
      </c>
      <c r="AR31" s="40">
        <f t="shared" si="32"/>
        <v>123.80458712242012</v>
      </c>
      <c r="AS31" s="40">
        <f t="shared" si="33"/>
        <v>2.4708336042023316</v>
      </c>
      <c r="AT31" s="40">
        <f t="shared" si="34"/>
        <v>-26.6694775831306</v>
      </c>
      <c r="AU31" s="40">
        <f t="shared" si="35"/>
        <v>26.783690060496912</v>
      </c>
      <c r="AV31" s="73">
        <f t="shared" si="69"/>
        <v>221.94282531775826</v>
      </c>
      <c r="AW31" s="73">
        <f t="shared" si="70"/>
        <v>0.37907848676417266</v>
      </c>
      <c r="AX31" s="73">
        <f t="shared" si="71"/>
        <v>-113.35173349360606</v>
      </c>
      <c r="AY31" s="73">
        <f t="shared" si="72"/>
        <v>-190.75600105812023</v>
      </c>
      <c r="AZ31" s="73">
        <f t="shared" si="73"/>
        <v>-111.97448562418516</v>
      </c>
      <c r="BA31" s="73">
        <f t="shared" si="74"/>
        <v>196.6562858193747</v>
      </c>
      <c r="BB31" s="73">
        <f t="shared" si="75"/>
        <v>221.94314905067037</v>
      </c>
      <c r="BC31" s="73">
        <f t="shared" si="76"/>
        <v>221.8929188272827</v>
      </c>
      <c r="BD31" s="73">
        <f t="shared" si="77"/>
        <v>226.30064114595973</v>
      </c>
      <c r="BE31" s="73">
        <f t="shared" si="36"/>
        <v>385.94696501091533</v>
      </c>
      <c r="BF31" s="73">
        <f t="shared" si="37"/>
        <v>387.4147349228527</v>
      </c>
      <c r="BG31" s="73">
        <f t="shared" si="38"/>
        <v>387.3312699292262</v>
      </c>
      <c r="BH31" s="73">
        <f t="shared" si="39"/>
        <v>3.89579736310168</v>
      </c>
      <c r="BI31" s="73">
        <f t="shared" si="85"/>
        <v>3.917547687847425</v>
      </c>
      <c r="BJ31" s="73">
        <f t="shared" si="86"/>
        <v>2.0089479374464463</v>
      </c>
      <c r="BK31" s="40">
        <f t="shared" si="78"/>
        <v>333.61832102604893</v>
      </c>
      <c r="BL31" s="40">
        <f t="shared" si="79"/>
        <v>335.7409323098343</v>
      </c>
      <c r="BM31" s="40">
        <f t="shared" si="80"/>
        <v>380.21586765875725</v>
      </c>
      <c r="BN31" s="40">
        <f t="shared" si="40"/>
        <v>4.946033085310688</v>
      </c>
      <c r="BO31" s="40">
        <f t="shared" si="7"/>
        <v>160.41755341528994</v>
      </c>
      <c r="BP31" s="40">
        <f t="shared" si="41"/>
        <v>390.65998392053524</v>
      </c>
      <c r="BQ31" s="40">
        <f t="shared" si="42"/>
        <v>2.33500401986619</v>
      </c>
      <c r="BR31" s="40">
        <f t="shared" si="43"/>
        <v>390.8636586372479</v>
      </c>
      <c r="BS31" s="40">
        <f t="shared" si="81"/>
        <v>2.284085340688023</v>
      </c>
      <c r="BT31" s="40">
        <f t="shared" si="44"/>
        <v>392.46399396429456</v>
      </c>
      <c r="BU31" s="40">
        <f t="shared" si="45"/>
        <v>1.8840015089263602</v>
      </c>
      <c r="BV31" s="75">
        <f t="shared" si="46"/>
        <v>0.031541862355212356</v>
      </c>
      <c r="BW31" s="75">
        <f t="shared" si="47"/>
        <v>0.025355482113899614</v>
      </c>
      <c r="BX31" s="40">
        <f t="shared" si="8"/>
        <v>3.6976066475897684</v>
      </c>
      <c r="BY31" s="40">
        <f t="shared" si="48"/>
        <v>8.545884556740914</v>
      </c>
      <c r="BZ31" s="61"/>
      <c r="CA31" s="73">
        <f t="shared" si="49"/>
        <v>3.739130869982586</v>
      </c>
      <c r="CB31" s="84"/>
      <c r="CC31" s="73">
        <f t="shared" si="50"/>
        <v>8.490445135141556</v>
      </c>
      <c r="CD31" s="73">
        <f t="shared" si="91"/>
        <v>0</v>
      </c>
      <c r="CE31" s="73">
        <f t="shared" si="92"/>
        <v>0</v>
      </c>
      <c r="CF31" s="73">
        <f t="shared" si="93"/>
        <v>0</v>
      </c>
      <c r="CG31" s="73">
        <f t="shared" si="54"/>
        <v>8.490445135141556</v>
      </c>
      <c r="CH31" s="73">
        <f t="shared" si="55"/>
        <v>8.490445135141556</v>
      </c>
      <c r="CI31" s="73">
        <f t="shared" si="56"/>
        <v>8.490445135141556</v>
      </c>
      <c r="CJ31" s="76">
        <f t="shared" si="57"/>
        <v>36</v>
      </c>
      <c r="CK31" s="76">
        <f t="shared" si="82"/>
        <v>0</v>
      </c>
      <c r="CL31" s="76">
        <f t="shared" si="83"/>
        <v>0</v>
      </c>
      <c r="CM31" s="76">
        <f t="shared" si="84"/>
        <v>0</v>
      </c>
      <c r="CN31" s="40">
        <f t="shared" si="9"/>
        <v>299.831966666687</v>
      </c>
      <c r="CO31" s="40">
        <f t="shared" si="94"/>
        <v>154.88085536109082</v>
      </c>
      <c r="CP31" s="40">
        <f t="shared" si="95"/>
        <v>154.1747294381093</v>
      </c>
      <c r="CQ31" s="40">
        <f t="shared" si="96"/>
        <v>125.9271984062055</v>
      </c>
      <c r="CR31" s="40">
        <f t="shared" si="97"/>
        <v>158.29494213150454</v>
      </c>
      <c r="CS31" s="40">
        <f t="shared" si="87"/>
        <v>158.29494213150454</v>
      </c>
      <c r="CT31" s="40">
        <f t="shared" si="61"/>
        <v>126.38537010366312</v>
      </c>
      <c r="CU31" s="40">
        <f t="shared" si="99"/>
        <v>160.41755341528994</v>
      </c>
      <c r="CV31" s="40">
        <f t="shared" si="100"/>
        <v>160.41755341528994</v>
      </c>
      <c r="CW31" s="40">
        <f t="shared" si="101"/>
        <v>128.50798138744852</v>
      </c>
      <c r="CX31" s="40">
        <f t="shared" si="88"/>
        <v>142.04092566159702</v>
      </c>
      <c r="CY31" s="40">
        <f t="shared" si="89"/>
        <v>142.04092566159702</v>
      </c>
      <c r="CZ31" s="40">
        <f t="shared" si="98"/>
        <v>113.32231083653974</v>
      </c>
      <c r="DA31" s="40">
        <f t="shared" si="66"/>
        <v>321.14946204656144</v>
      </c>
    </row>
    <row r="32" spans="1:105" ht="12.75">
      <c r="A32" s="61" t="s">
        <v>22</v>
      </c>
      <c r="B32" s="61" t="s">
        <v>23</v>
      </c>
      <c r="C32" s="61">
        <v>0</v>
      </c>
      <c r="D32" s="61" t="s">
        <v>303</v>
      </c>
      <c r="E32" s="61">
        <v>24840</v>
      </c>
      <c r="F32" s="61">
        <v>0.9</v>
      </c>
      <c r="G32" s="61" t="s">
        <v>320</v>
      </c>
      <c r="H32" s="120"/>
      <c r="I32" s="61">
        <v>0.867</v>
      </c>
      <c r="J32" s="61" t="s">
        <v>285</v>
      </c>
      <c r="K32" s="61">
        <v>35</v>
      </c>
      <c r="L32" s="61">
        <v>145</v>
      </c>
      <c r="M32" s="61" t="s">
        <v>285</v>
      </c>
      <c r="N32" s="61">
        <v>16</v>
      </c>
      <c r="O32" s="61">
        <v>86</v>
      </c>
      <c r="P32" s="61" t="s">
        <v>138</v>
      </c>
      <c r="Q32" s="120"/>
      <c r="R32" s="120"/>
      <c r="S32" s="120">
        <v>45</v>
      </c>
      <c r="T32" s="120"/>
      <c r="U32" s="72">
        <f t="shared" si="90"/>
        <v>0</v>
      </c>
      <c r="V32" s="72">
        <f t="shared" si="14"/>
        <v>0</v>
      </c>
      <c r="W32" s="73">
        <f t="shared" si="15"/>
        <v>119.51150572225251</v>
      </c>
      <c r="X32" s="72">
        <f t="shared" si="16"/>
        <v>0</v>
      </c>
      <c r="Y32" s="72">
        <f t="shared" si="17"/>
        <v>0</v>
      </c>
      <c r="Z32" s="72">
        <f t="shared" si="18"/>
        <v>0</v>
      </c>
      <c r="AA32" s="72">
        <f t="shared" si="19"/>
        <v>0</v>
      </c>
      <c r="AB32" s="72">
        <f t="shared" si="20"/>
        <v>0</v>
      </c>
      <c r="AC32" s="72">
        <f t="shared" si="21"/>
        <v>0</v>
      </c>
      <c r="AD32" s="74">
        <f t="shared" si="22"/>
        <v>137.5590782173245</v>
      </c>
      <c r="AE32" s="73">
        <f t="shared" si="67"/>
        <v>99.57978574368964</v>
      </c>
      <c r="AF32" s="40">
        <f t="shared" si="68"/>
        <v>9.047182596420242</v>
      </c>
      <c r="AG32" s="40">
        <f t="shared" si="23"/>
        <v>3.917544980588193</v>
      </c>
      <c r="AH32" s="40">
        <f t="shared" si="24"/>
        <v>14.053035149573589</v>
      </c>
      <c r="AI32" s="260">
        <f t="shared" si="25"/>
        <v>3.513258787393397</v>
      </c>
      <c r="AJ32" s="40">
        <f t="shared" si="5"/>
        <v>89.6958128254994</v>
      </c>
      <c r="AK32" s="40">
        <f t="shared" si="6"/>
        <v>-43.2526876050939</v>
      </c>
      <c r="AL32" s="261">
        <f t="shared" si="26"/>
        <v>99.57978621934707</v>
      </c>
      <c r="AM32" s="40">
        <f t="shared" si="27"/>
        <v>0</v>
      </c>
      <c r="AN32" s="40">
        <f t="shared" si="28"/>
        <v>0</v>
      </c>
      <c r="AO32" s="40">
        <f t="shared" si="29"/>
        <v>0</v>
      </c>
      <c r="AP32" s="40">
        <f t="shared" si="30"/>
        <v>0</v>
      </c>
      <c r="AQ32" s="40">
        <f t="shared" si="31"/>
        <v>0</v>
      </c>
      <c r="AR32" s="40">
        <f t="shared" si="32"/>
        <v>0</v>
      </c>
      <c r="AS32" s="40">
        <f t="shared" si="33"/>
        <v>89.6958128254994</v>
      </c>
      <c r="AT32" s="40">
        <f t="shared" si="34"/>
        <v>-43.2526876050939</v>
      </c>
      <c r="AU32" s="40">
        <f t="shared" si="35"/>
        <v>99.57978621934707</v>
      </c>
      <c r="AV32" s="73">
        <f t="shared" si="69"/>
        <v>221.94282531775826</v>
      </c>
      <c r="AW32" s="73">
        <f t="shared" si="70"/>
        <v>0.37907848676417266</v>
      </c>
      <c r="AX32" s="73">
        <f t="shared" si="71"/>
        <v>-113.35173349360606</v>
      </c>
      <c r="AY32" s="73">
        <f t="shared" si="72"/>
        <v>-190.75600105812023</v>
      </c>
      <c r="AZ32" s="73">
        <f t="shared" si="73"/>
        <v>-111.97448562418516</v>
      </c>
      <c r="BA32" s="73">
        <f t="shared" si="74"/>
        <v>196.6562858193747</v>
      </c>
      <c r="BB32" s="73">
        <f t="shared" si="75"/>
        <v>221.94314905067037</v>
      </c>
      <c r="BC32" s="73">
        <f t="shared" si="76"/>
        <v>221.8929188272827</v>
      </c>
      <c r="BD32" s="73">
        <f t="shared" si="77"/>
        <v>226.30064114595973</v>
      </c>
      <c r="BE32" s="73">
        <f t="shared" si="36"/>
        <v>385.94696501091533</v>
      </c>
      <c r="BF32" s="73">
        <f t="shared" si="37"/>
        <v>387.4147349228527</v>
      </c>
      <c r="BG32" s="73">
        <f t="shared" si="38"/>
        <v>387.3312699292262</v>
      </c>
      <c r="BH32" s="73">
        <f t="shared" si="39"/>
        <v>3.89579736310168</v>
      </c>
      <c r="BI32" s="73">
        <f t="shared" si="85"/>
        <v>3.917547687847425</v>
      </c>
      <c r="BJ32" s="73">
        <f t="shared" si="86"/>
        <v>2.0089479374464463</v>
      </c>
      <c r="BK32" s="40">
        <f t="shared" si="78"/>
        <v>103.61647546119292</v>
      </c>
      <c r="BL32" s="40">
        <f t="shared" si="79"/>
        <v>103.61647546119292</v>
      </c>
      <c r="BM32" s="40">
        <f t="shared" si="80"/>
        <v>380.21586765875725</v>
      </c>
      <c r="BN32" s="40">
        <f t="shared" si="40"/>
        <v>4.946033085310688</v>
      </c>
      <c r="BO32" s="40">
        <f t="shared" si="7"/>
        <v>103.61647546119292</v>
      </c>
      <c r="BP32" s="40">
        <f t="shared" si="41"/>
        <v>390.65998392053524</v>
      </c>
      <c r="BQ32" s="40">
        <f t="shared" si="42"/>
        <v>2.33500401986619</v>
      </c>
      <c r="BR32" s="40">
        <f t="shared" si="43"/>
        <v>390.8636586372479</v>
      </c>
      <c r="BS32" s="40">
        <f t="shared" si="81"/>
        <v>2.284085340688023</v>
      </c>
      <c r="BT32" s="40">
        <f t="shared" si="44"/>
        <v>392.46399396429456</v>
      </c>
      <c r="BU32" s="40">
        <f t="shared" si="45"/>
        <v>1.8840015089263602</v>
      </c>
      <c r="BV32" s="75">
        <f t="shared" si="46"/>
        <v>0.031541862355212356</v>
      </c>
      <c r="BW32" s="75">
        <f t="shared" si="47"/>
        <v>0.025355482113899614</v>
      </c>
      <c r="BX32" s="40">
        <f t="shared" si="8"/>
        <v>3.528151636121383</v>
      </c>
      <c r="BY32" s="40">
        <f t="shared" si="48"/>
        <v>5.98211918971864</v>
      </c>
      <c r="BZ32" s="61"/>
      <c r="CA32" s="73">
        <f t="shared" si="49"/>
        <v>2.012397081896313</v>
      </c>
      <c r="CB32" s="84"/>
      <c r="CC32" s="73">
        <f t="shared" si="50"/>
        <v>0</v>
      </c>
      <c r="CD32" s="73">
        <f t="shared" si="91"/>
        <v>1</v>
      </c>
      <c r="CE32" s="73">
        <f t="shared" si="92"/>
        <v>0</v>
      </c>
      <c r="CF32" s="73">
        <f t="shared" si="93"/>
        <v>0</v>
      </c>
      <c r="CG32" s="73">
        <f t="shared" si="54"/>
        <v>0</v>
      </c>
      <c r="CH32" s="73">
        <f t="shared" si="55"/>
        <v>0</v>
      </c>
      <c r="CI32" s="73">
        <f t="shared" si="56"/>
        <v>0</v>
      </c>
      <c r="CJ32" s="76">
        <f t="shared" si="57"/>
        <v>0</v>
      </c>
      <c r="CK32" s="76">
        <f t="shared" si="82"/>
        <v>0</v>
      </c>
      <c r="CL32" s="76">
        <f t="shared" si="83"/>
        <v>0</v>
      </c>
      <c r="CM32" s="76">
        <f t="shared" si="84"/>
        <v>0</v>
      </c>
      <c r="CN32" s="40">
        <f t="shared" si="9"/>
        <v>93.25482791507363</v>
      </c>
      <c r="CO32" s="40">
        <f t="shared" si="94"/>
        <v>99.57978621934707</v>
      </c>
      <c r="CP32" s="40">
        <f t="shared" si="95"/>
        <v>0</v>
      </c>
      <c r="CQ32" s="40">
        <f t="shared" si="96"/>
        <v>0</v>
      </c>
      <c r="CR32" s="40">
        <f t="shared" si="97"/>
        <v>103.61647546119292</v>
      </c>
      <c r="CS32" s="40">
        <f t="shared" si="87"/>
        <v>0</v>
      </c>
      <c r="CT32" s="40">
        <f t="shared" si="61"/>
        <v>0</v>
      </c>
      <c r="CU32" s="40">
        <f t="shared" si="99"/>
        <v>103.61647546119292</v>
      </c>
      <c r="CV32" s="40">
        <f t="shared" si="100"/>
        <v>0</v>
      </c>
      <c r="CW32" s="40">
        <f t="shared" si="101"/>
        <v>0</v>
      </c>
      <c r="CX32" s="40">
        <f t="shared" si="88"/>
        <v>93.25482791507363</v>
      </c>
      <c r="CY32" s="40">
        <f t="shared" si="89"/>
        <v>0</v>
      </c>
      <c r="CZ32" s="40">
        <f t="shared" si="98"/>
        <v>0</v>
      </c>
      <c r="DA32" s="40">
        <f t="shared" si="66"/>
        <v>0</v>
      </c>
    </row>
    <row r="33" spans="1:105" ht="12.75">
      <c r="A33" s="61" t="s">
        <v>22</v>
      </c>
      <c r="B33" s="61" t="s">
        <v>24</v>
      </c>
      <c r="C33" s="61">
        <v>0</v>
      </c>
      <c r="D33" s="61" t="s">
        <v>304</v>
      </c>
      <c r="E33" s="61">
        <v>24840</v>
      </c>
      <c r="F33" s="61">
        <v>0.9</v>
      </c>
      <c r="G33" s="61" t="s">
        <v>320</v>
      </c>
      <c r="H33" s="120"/>
      <c r="I33" s="61">
        <v>0.867</v>
      </c>
      <c r="J33" s="61" t="s">
        <v>285</v>
      </c>
      <c r="K33" s="61">
        <v>35</v>
      </c>
      <c r="L33" s="61">
        <v>145</v>
      </c>
      <c r="M33" s="61" t="s">
        <v>285</v>
      </c>
      <c r="N33" s="61">
        <v>16</v>
      </c>
      <c r="O33" s="61">
        <v>86</v>
      </c>
      <c r="P33" s="61" t="s">
        <v>138</v>
      </c>
      <c r="Q33" s="120"/>
      <c r="R33" s="120"/>
      <c r="S33" s="120">
        <v>45</v>
      </c>
      <c r="T33" s="120"/>
      <c r="U33" s="72">
        <f t="shared" si="90"/>
        <v>0</v>
      </c>
      <c r="V33" s="72">
        <f t="shared" si="14"/>
        <v>0</v>
      </c>
      <c r="W33" s="73">
        <f t="shared" si="15"/>
        <v>119.51150572225251</v>
      </c>
      <c r="X33" s="72">
        <f t="shared" si="16"/>
        <v>0</v>
      </c>
      <c r="Y33" s="72">
        <f t="shared" si="17"/>
        <v>0</v>
      </c>
      <c r="Z33" s="72">
        <f t="shared" si="18"/>
        <v>0</v>
      </c>
      <c r="AA33" s="72">
        <f t="shared" si="19"/>
        <v>0</v>
      </c>
      <c r="AB33" s="72">
        <f t="shared" si="20"/>
        <v>0</v>
      </c>
      <c r="AC33" s="72">
        <f t="shared" si="21"/>
        <v>0</v>
      </c>
      <c r="AD33" s="74">
        <f t="shared" si="22"/>
        <v>137.5590782173245</v>
      </c>
      <c r="AE33" s="73">
        <f t="shared" si="67"/>
        <v>99.55725217554804</v>
      </c>
      <c r="AF33" s="40">
        <f t="shared" si="68"/>
        <v>9.047182596420242</v>
      </c>
      <c r="AG33" s="40">
        <f t="shared" si="23"/>
        <v>3.917544980588193</v>
      </c>
      <c r="AH33" s="40">
        <f t="shared" si="24"/>
        <v>14.053035149573589</v>
      </c>
      <c r="AI33" s="260">
        <f t="shared" si="25"/>
        <v>3.513258787393397</v>
      </c>
      <c r="AJ33" s="40">
        <f t="shared" si="5"/>
        <v>0</v>
      </c>
      <c r="AK33" s="40">
        <f t="shared" si="6"/>
        <v>0</v>
      </c>
      <c r="AL33" s="261">
        <f t="shared" si="26"/>
        <v>0</v>
      </c>
      <c r="AM33" s="40">
        <f t="shared" si="27"/>
        <v>-83.0785234462651</v>
      </c>
      <c r="AN33" s="40">
        <f t="shared" si="28"/>
        <v>-54.85987287677373</v>
      </c>
      <c r="AO33" s="40">
        <f t="shared" si="29"/>
        <v>99.55725342770054</v>
      </c>
      <c r="AP33" s="40">
        <f t="shared" si="30"/>
        <v>0</v>
      </c>
      <c r="AQ33" s="40">
        <f t="shared" si="31"/>
        <v>0</v>
      </c>
      <c r="AR33" s="40">
        <f t="shared" si="32"/>
        <v>0</v>
      </c>
      <c r="AS33" s="40">
        <f t="shared" si="33"/>
        <v>-83.0785234462651</v>
      </c>
      <c r="AT33" s="40">
        <f t="shared" si="34"/>
        <v>-54.85987287677373</v>
      </c>
      <c r="AU33" s="40">
        <f t="shared" si="35"/>
        <v>99.55725342770054</v>
      </c>
      <c r="AV33" s="73">
        <f t="shared" si="69"/>
        <v>221.94282531775826</v>
      </c>
      <c r="AW33" s="73">
        <f t="shared" si="70"/>
        <v>0.37907848676417266</v>
      </c>
      <c r="AX33" s="73">
        <f t="shared" si="71"/>
        <v>-113.35173349360606</v>
      </c>
      <c r="AY33" s="73">
        <f t="shared" si="72"/>
        <v>-190.75600105812023</v>
      </c>
      <c r="AZ33" s="73">
        <f t="shared" si="73"/>
        <v>-111.97448562418516</v>
      </c>
      <c r="BA33" s="73">
        <f t="shared" si="74"/>
        <v>196.6562858193747</v>
      </c>
      <c r="BB33" s="73">
        <f t="shared" si="75"/>
        <v>221.94314905067037</v>
      </c>
      <c r="BC33" s="73">
        <f t="shared" si="76"/>
        <v>221.8929188272827</v>
      </c>
      <c r="BD33" s="73">
        <f t="shared" si="77"/>
        <v>226.30064114595973</v>
      </c>
      <c r="BE33" s="73">
        <f t="shared" si="36"/>
        <v>385.94696501091533</v>
      </c>
      <c r="BF33" s="73">
        <f t="shared" si="37"/>
        <v>387.4147349228527</v>
      </c>
      <c r="BG33" s="73">
        <f t="shared" si="38"/>
        <v>387.3312699292262</v>
      </c>
      <c r="BH33" s="73">
        <f t="shared" si="39"/>
        <v>3.89579736310168</v>
      </c>
      <c r="BI33" s="73">
        <f t="shared" si="85"/>
        <v>3.917547687847425</v>
      </c>
      <c r="BJ33" s="73">
        <f t="shared" si="86"/>
        <v>2.0089479374464463</v>
      </c>
      <c r="BK33" s="40">
        <f t="shared" si="78"/>
        <v>103.61647546119292</v>
      </c>
      <c r="BL33" s="40">
        <f t="shared" si="79"/>
        <v>103.61647546119292</v>
      </c>
      <c r="BM33" s="40">
        <f t="shared" si="80"/>
        <v>380.21586765875725</v>
      </c>
      <c r="BN33" s="40">
        <f t="shared" si="40"/>
        <v>4.946033085310688</v>
      </c>
      <c r="BO33" s="40">
        <f t="shared" si="7"/>
        <v>103.61647546119292</v>
      </c>
      <c r="BP33" s="40">
        <f t="shared" si="41"/>
        <v>390.65998392053524</v>
      </c>
      <c r="BQ33" s="40">
        <f t="shared" si="42"/>
        <v>2.33500401986619</v>
      </c>
      <c r="BR33" s="40">
        <f t="shared" si="43"/>
        <v>390.8636586372479</v>
      </c>
      <c r="BS33" s="40">
        <f t="shared" si="81"/>
        <v>2.284085340688023</v>
      </c>
      <c r="BT33" s="40">
        <f t="shared" si="44"/>
        <v>392.46399396429456</v>
      </c>
      <c r="BU33" s="40">
        <f t="shared" si="45"/>
        <v>1.8840015089263602</v>
      </c>
      <c r="BV33" s="75">
        <f t="shared" si="46"/>
        <v>0.031541862355212356</v>
      </c>
      <c r="BW33" s="75">
        <f t="shared" si="47"/>
        <v>0.025355482113899614</v>
      </c>
      <c r="BX33" s="40">
        <f t="shared" si="8"/>
        <v>3.528151636121383</v>
      </c>
      <c r="BY33" s="40">
        <f t="shared" si="48"/>
        <v>5.98211918971864</v>
      </c>
      <c r="BZ33" s="61"/>
      <c r="CA33" s="73">
        <f t="shared" si="49"/>
        <v>2.012397081896313</v>
      </c>
      <c r="CB33" s="84"/>
      <c r="CC33" s="73">
        <f t="shared" si="50"/>
        <v>0</v>
      </c>
      <c r="CD33" s="73">
        <f t="shared" si="91"/>
        <v>0</v>
      </c>
      <c r="CE33" s="73">
        <f t="shared" si="92"/>
        <v>1</v>
      </c>
      <c r="CF33" s="73">
        <f t="shared" si="93"/>
        <v>0</v>
      </c>
      <c r="CG33" s="73">
        <f t="shared" si="54"/>
        <v>0</v>
      </c>
      <c r="CH33" s="73">
        <f t="shared" si="55"/>
        <v>0</v>
      </c>
      <c r="CI33" s="73">
        <f t="shared" si="56"/>
        <v>0</v>
      </c>
      <c r="CJ33" s="76">
        <f t="shared" si="57"/>
        <v>0</v>
      </c>
      <c r="CK33" s="76">
        <f t="shared" si="82"/>
        <v>0</v>
      </c>
      <c r="CL33" s="76">
        <f t="shared" si="83"/>
        <v>0</v>
      </c>
      <c r="CM33" s="76">
        <f t="shared" si="84"/>
        <v>0</v>
      </c>
      <c r="CN33" s="40">
        <f t="shared" si="9"/>
        <v>93.25482791507363</v>
      </c>
      <c r="CO33" s="40">
        <f t="shared" si="94"/>
        <v>0</v>
      </c>
      <c r="CP33" s="40">
        <f t="shared" si="95"/>
        <v>99.55725342770054</v>
      </c>
      <c r="CQ33" s="40">
        <f t="shared" si="96"/>
        <v>0</v>
      </c>
      <c r="CR33" s="40">
        <f t="shared" si="97"/>
        <v>0</v>
      </c>
      <c r="CS33" s="40">
        <f t="shared" si="87"/>
        <v>103.61647546119292</v>
      </c>
      <c r="CT33" s="40">
        <f t="shared" si="61"/>
        <v>0</v>
      </c>
      <c r="CU33" s="40">
        <f t="shared" si="99"/>
        <v>0</v>
      </c>
      <c r="CV33" s="40">
        <f t="shared" si="100"/>
        <v>103.61647546119292</v>
      </c>
      <c r="CW33" s="40">
        <f t="shared" si="101"/>
        <v>0</v>
      </c>
      <c r="CX33" s="40">
        <f t="shared" si="88"/>
        <v>0</v>
      </c>
      <c r="CY33" s="40">
        <f t="shared" si="89"/>
        <v>93.25482791507363</v>
      </c>
      <c r="CZ33" s="40">
        <f t="shared" si="98"/>
        <v>0</v>
      </c>
      <c r="DA33" s="40">
        <f t="shared" si="66"/>
        <v>0</v>
      </c>
    </row>
    <row r="34" spans="1:105" ht="12.75">
      <c r="A34" s="61" t="s">
        <v>22</v>
      </c>
      <c r="B34" s="61" t="s">
        <v>25</v>
      </c>
      <c r="C34" s="61">
        <v>0</v>
      </c>
      <c r="D34" s="61" t="s">
        <v>305</v>
      </c>
      <c r="E34" s="61">
        <v>16560</v>
      </c>
      <c r="F34" s="61">
        <v>0.9</v>
      </c>
      <c r="G34" s="61" t="s">
        <v>320</v>
      </c>
      <c r="H34" s="120"/>
      <c r="I34" s="61">
        <v>0.9</v>
      </c>
      <c r="J34" s="61" t="s">
        <v>285</v>
      </c>
      <c r="K34" s="61">
        <v>35</v>
      </c>
      <c r="L34" s="61">
        <v>145</v>
      </c>
      <c r="M34" s="61" t="s">
        <v>285</v>
      </c>
      <c r="N34" s="61">
        <v>16</v>
      </c>
      <c r="O34" s="61">
        <v>86</v>
      </c>
      <c r="P34" s="61" t="s">
        <v>138</v>
      </c>
      <c r="Q34" s="120"/>
      <c r="R34" s="120"/>
      <c r="S34" s="120">
        <v>45</v>
      </c>
      <c r="T34" s="120"/>
      <c r="U34" s="72">
        <f t="shared" si="90"/>
        <v>0</v>
      </c>
      <c r="V34" s="72">
        <f t="shared" si="14"/>
        <v>0</v>
      </c>
      <c r="W34" s="73">
        <f t="shared" si="15"/>
        <v>79.67433714816835</v>
      </c>
      <c r="X34" s="72">
        <f t="shared" si="16"/>
        <v>0</v>
      </c>
      <c r="Y34" s="72">
        <f t="shared" si="17"/>
        <v>0</v>
      </c>
      <c r="Z34" s="72">
        <f t="shared" si="18"/>
        <v>0</v>
      </c>
      <c r="AA34" s="72">
        <f t="shared" si="19"/>
        <v>0</v>
      </c>
      <c r="AB34" s="72">
        <f t="shared" si="20"/>
        <v>0</v>
      </c>
      <c r="AC34" s="72">
        <f t="shared" si="21"/>
        <v>0</v>
      </c>
      <c r="AD34" s="74">
        <f t="shared" si="22"/>
        <v>137.5590782173245</v>
      </c>
      <c r="AE34" s="73">
        <f t="shared" si="67"/>
        <v>70.26634913693472</v>
      </c>
      <c r="AF34" s="40">
        <f t="shared" si="68"/>
        <v>9.047182596420242</v>
      </c>
      <c r="AG34" s="40">
        <f t="shared" si="23"/>
        <v>3.917544980588193</v>
      </c>
      <c r="AH34" s="40">
        <f t="shared" si="24"/>
        <v>14.053035149573589</v>
      </c>
      <c r="AI34" s="260">
        <f t="shared" si="25"/>
        <v>3.513258787393397</v>
      </c>
      <c r="AJ34" s="40">
        <f t="shared" si="5"/>
        <v>0</v>
      </c>
      <c r="AK34" s="40">
        <f t="shared" si="6"/>
        <v>0</v>
      </c>
      <c r="AL34" s="261">
        <f t="shared" si="26"/>
        <v>0</v>
      </c>
      <c r="AM34" s="40">
        <f t="shared" si="27"/>
        <v>0</v>
      </c>
      <c r="AN34" s="40">
        <f t="shared" si="28"/>
        <v>0</v>
      </c>
      <c r="AO34" s="40">
        <f t="shared" si="29"/>
        <v>0</v>
      </c>
      <c r="AP34" s="40">
        <f t="shared" si="30"/>
        <v>-4.675060119710874</v>
      </c>
      <c r="AQ34" s="40">
        <f t="shared" si="31"/>
        <v>70.11065174247962</v>
      </c>
      <c r="AR34" s="40">
        <f t="shared" si="32"/>
        <v>70.26634809692455</v>
      </c>
      <c r="AS34" s="40">
        <f t="shared" si="33"/>
        <v>-4.675060119710874</v>
      </c>
      <c r="AT34" s="40">
        <f t="shared" si="34"/>
        <v>70.11065174247962</v>
      </c>
      <c r="AU34" s="40">
        <f t="shared" si="35"/>
        <v>70.26634809692455</v>
      </c>
      <c r="AV34" s="73">
        <f t="shared" si="69"/>
        <v>221.94282531775826</v>
      </c>
      <c r="AW34" s="73">
        <f t="shared" si="70"/>
        <v>0.37907848676417266</v>
      </c>
      <c r="AX34" s="73">
        <f t="shared" si="71"/>
        <v>-113.35173349360606</v>
      </c>
      <c r="AY34" s="73">
        <f t="shared" si="72"/>
        <v>-190.75600105812023</v>
      </c>
      <c r="AZ34" s="73">
        <f t="shared" si="73"/>
        <v>-111.97448562418516</v>
      </c>
      <c r="BA34" s="73">
        <f t="shared" si="74"/>
        <v>196.6562858193747</v>
      </c>
      <c r="BB34" s="73">
        <f t="shared" si="75"/>
        <v>221.94314905067037</v>
      </c>
      <c r="BC34" s="73">
        <f t="shared" si="76"/>
        <v>221.8929188272827</v>
      </c>
      <c r="BD34" s="73">
        <f t="shared" si="77"/>
        <v>226.30064114595973</v>
      </c>
      <c r="BE34" s="73">
        <f t="shared" si="36"/>
        <v>385.94696501091533</v>
      </c>
      <c r="BF34" s="73">
        <f t="shared" si="37"/>
        <v>387.4147349228527</v>
      </c>
      <c r="BG34" s="73">
        <f t="shared" si="38"/>
        <v>387.3312699292262</v>
      </c>
      <c r="BH34" s="73">
        <f t="shared" si="39"/>
        <v>3.89579736310168</v>
      </c>
      <c r="BI34" s="73">
        <f t="shared" si="85"/>
        <v>3.917547687847425</v>
      </c>
      <c r="BJ34" s="73">
        <f t="shared" si="86"/>
        <v>2.0089479374464463</v>
      </c>
      <c r="BK34" s="40">
        <f t="shared" si="78"/>
        <v>71.70690343335151</v>
      </c>
      <c r="BL34" s="40">
        <f t="shared" si="79"/>
        <v>71.70690343335151</v>
      </c>
      <c r="BM34" s="40">
        <f t="shared" si="80"/>
        <v>380.21586765875725</v>
      </c>
      <c r="BN34" s="40">
        <f t="shared" si="40"/>
        <v>4.946033085310688</v>
      </c>
      <c r="BO34" s="40">
        <f t="shared" si="7"/>
        <v>71.70690343335151</v>
      </c>
      <c r="BP34" s="40">
        <f t="shared" si="41"/>
        <v>390.65998392053524</v>
      </c>
      <c r="BQ34" s="40">
        <f t="shared" si="42"/>
        <v>2.33500401986619</v>
      </c>
      <c r="BR34" s="40">
        <f t="shared" si="43"/>
        <v>390.8636586372479</v>
      </c>
      <c r="BS34" s="40">
        <f t="shared" si="81"/>
        <v>2.284085340688023</v>
      </c>
      <c r="BT34" s="40">
        <f t="shared" si="44"/>
        <v>392.46399396429456</v>
      </c>
      <c r="BU34" s="40">
        <f t="shared" si="45"/>
        <v>1.8840015089263602</v>
      </c>
      <c r="BV34" s="75">
        <f t="shared" si="46"/>
        <v>0.031541862355212356</v>
      </c>
      <c r="BW34" s="75">
        <f t="shared" si="47"/>
        <v>0.025355482113899614</v>
      </c>
      <c r="BX34" s="40">
        <f t="shared" si="8"/>
        <v>3.528151636121383</v>
      </c>
      <c r="BY34" s="40">
        <f t="shared" si="48"/>
        <v>5.98211918971864</v>
      </c>
      <c r="BZ34" s="61"/>
      <c r="CA34" s="73">
        <f t="shared" si="49"/>
        <v>2.012397081896313</v>
      </c>
      <c r="CB34" s="84"/>
      <c r="CC34" s="73">
        <f t="shared" si="50"/>
        <v>0</v>
      </c>
      <c r="CD34" s="73">
        <f t="shared" si="91"/>
        <v>0</v>
      </c>
      <c r="CE34" s="73">
        <f t="shared" si="92"/>
        <v>0</v>
      </c>
      <c r="CF34" s="73">
        <f t="shared" si="93"/>
        <v>1</v>
      </c>
      <c r="CG34" s="73">
        <f t="shared" si="54"/>
        <v>0</v>
      </c>
      <c r="CH34" s="73">
        <f t="shared" si="55"/>
        <v>0</v>
      </c>
      <c r="CI34" s="73">
        <f t="shared" si="56"/>
        <v>0</v>
      </c>
      <c r="CJ34" s="76">
        <f t="shared" si="57"/>
        <v>0</v>
      </c>
      <c r="CK34" s="76">
        <f t="shared" si="82"/>
        <v>0</v>
      </c>
      <c r="CL34" s="76">
        <f t="shared" si="83"/>
        <v>0</v>
      </c>
      <c r="CM34" s="76">
        <f t="shared" si="84"/>
        <v>0</v>
      </c>
      <c r="CN34" s="40">
        <f t="shared" si="9"/>
        <v>64.53621309001636</v>
      </c>
      <c r="CO34" s="40">
        <f t="shared" si="94"/>
        <v>0</v>
      </c>
      <c r="CP34" s="40">
        <f t="shared" si="95"/>
        <v>0</v>
      </c>
      <c r="CQ34" s="40">
        <f t="shared" si="96"/>
        <v>70.26634809692455</v>
      </c>
      <c r="CR34" s="40">
        <f t="shared" si="97"/>
        <v>0</v>
      </c>
      <c r="CS34" s="40">
        <f t="shared" si="87"/>
        <v>0</v>
      </c>
      <c r="CT34" s="40">
        <f t="shared" si="61"/>
        <v>71.70690343335151</v>
      </c>
      <c r="CU34" s="40">
        <f t="shared" si="99"/>
        <v>0</v>
      </c>
      <c r="CV34" s="40">
        <f t="shared" si="100"/>
        <v>0</v>
      </c>
      <c r="CW34" s="40">
        <f t="shared" si="101"/>
        <v>71.70690343335151</v>
      </c>
      <c r="CX34" s="40">
        <f t="shared" si="88"/>
        <v>0</v>
      </c>
      <c r="CY34" s="40">
        <f t="shared" si="89"/>
        <v>0</v>
      </c>
      <c r="CZ34" s="40">
        <f t="shared" si="98"/>
        <v>64.53621309001636</v>
      </c>
      <c r="DA34" s="40">
        <f t="shared" si="66"/>
        <v>0</v>
      </c>
    </row>
    <row r="35" spans="1:105" ht="12.75">
      <c r="A35" s="61" t="s">
        <v>22</v>
      </c>
      <c r="B35" s="61" t="s">
        <v>20</v>
      </c>
      <c r="C35" s="61">
        <v>0</v>
      </c>
      <c r="D35" s="61" t="s">
        <v>306</v>
      </c>
      <c r="E35" s="61">
        <v>5000</v>
      </c>
      <c r="F35" s="61">
        <v>0.85</v>
      </c>
      <c r="G35" s="61" t="s">
        <v>318</v>
      </c>
      <c r="H35" s="120" t="s">
        <v>20</v>
      </c>
      <c r="I35" s="61">
        <v>1</v>
      </c>
      <c r="J35" s="61" t="s">
        <v>285</v>
      </c>
      <c r="K35" s="61">
        <v>10</v>
      </c>
      <c r="L35" s="61">
        <v>64</v>
      </c>
      <c r="M35" s="61" t="s">
        <v>285</v>
      </c>
      <c r="N35" s="61">
        <v>10</v>
      </c>
      <c r="O35" s="61">
        <v>64</v>
      </c>
      <c r="P35" s="61" t="s">
        <v>138</v>
      </c>
      <c r="Q35" s="120"/>
      <c r="R35" s="120"/>
      <c r="S35" s="120">
        <v>45</v>
      </c>
      <c r="T35" s="120"/>
      <c r="U35" s="72">
        <f t="shared" si="90"/>
        <v>0</v>
      </c>
      <c r="V35" s="72">
        <f t="shared" si="14"/>
        <v>0</v>
      </c>
      <c r="W35" s="73">
        <f t="shared" si="15"/>
        <v>8.490445135141556</v>
      </c>
      <c r="X35" s="72">
        <f t="shared" si="16"/>
        <v>0</v>
      </c>
      <c r="Y35" s="72">
        <f t="shared" si="17"/>
        <v>0</v>
      </c>
      <c r="Z35" s="72">
        <f t="shared" si="18"/>
        <v>0</v>
      </c>
      <c r="AA35" s="72">
        <f t="shared" si="19"/>
        <v>0</v>
      </c>
      <c r="AB35" s="72">
        <f t="shared" si="20"/>
        <v>0</v>
      </c>
      <c r="AC35" s="72">
        <f t="shared" si="21"/>
        <v>0</v>
      </c>
      <c r="AD35" s="74">
        <f t="shared" si="22"/>
        <v>60.71573107523288</v>
      </c>
      <c r="AE35" s="73">
        <f t="shared" si="67"/>
        <v>10.957235634799815</v>
      </c>
      <c r="AF35" s="40">
        <f t="shared" si="68"/>
        <v>9.047182596420242</v>
      </c>
      <c r="AG35" s="40">
        <f t="shared" si="23"/>
        <v>3.917544980588193</v>
      </c>
      <c r="AH35" s="40">
        <f t="shared" si="24"/>
        <v>14.053035149573589</v>
      </c>
      <c r="AI35" s="260">
        <f t="shared" si="25"/>
        <v>3.513258787393397</v>
      </c>
      <c r="AJ35" s="40">
        <f t="shared" si="5"/>
        <v>7.517368488699994</v>
      </c>
      <c r="AK35" s="40">
        <f t="shared" si="6"/>
        <v>-4.641094448833951</v>
      </c>
      <c r="AL35" s="261">
        <f t="shared" si="26"/>
        <v>8.834624308814549</v>
      </c>
      <c r="AM35" s="40">
        <f t="shared" si="27"/>
        <v>-7.236615357861818</v>
      </c>
      <c r="AN35" s="40">
        <f t="shared" si="28"/>
        <v>-3.765840932254687</v>
      </c>
      <c r="AO35" s="40">
        <f t="shared" si="29"/>
        <v>8.157828127920224</v>
      </c>
      <c r="AP35" s="40">
        <f t="shared" si="30"/>
        <v>0.30944149821508105</v>
      </c>
      <c r="AQ35" s="40">
        <f t="shared" si="31"/>
        <v>8.314119870282713</v>
      </c>
      <c r="AR35" s="40">
        <f t="shared" si="32"/>
        <v>8.319876396813083</v>
      </c>
      <c r="AS35" s="40">
        <f t="shared" si="33"/>
        <v>0.5901946290532567</v>
      </c>
      <c r="AT35" s="40">
        <f t="shared" si="34"/>
        <v>-0.09281551080592543</v>
      </c>
      <c r="AU35" s="40">
        <f t="shared" si="35"/>
        <v>0.5974482565122072</v>
      </c>
      <c r="AV35" s="73">
        <f t="shared" si="69"/>
        <v>221.94282531775826</v>
      </c>
      <c r="AW35" s="73">
        <f t="shared" si="70"/>
        <v>0.37907848676417266</v>
      </c>
      <c r="AX35" s="73">
        <f t="shared" si="71"/>
        <v>-113.35173349360606</v>
      </c>
      <c r="AY35" s="73">
        <f t="shared" si="72"/>
        <v>-190.75600105812023</v>
      </c>
      <c r="AZ35" s="73">
        <f t="shared" si="73"/>
        <v>-111.97448562418516</v>
      </c>
      <c r="BA35" s="73">
        <f t="shared" si="74"/>
        <v>196.6562858193747</v>
      </c>
      <c r="BB35" s="73">
        <f t="shared" si="75"/>
        <v>221.94314905067037</v>
      </c>
      <c r="BC35" s="73">
        <f t="shared" si="76"/>
        <v>221.8929188272827</v>
      </c>
      <c r="BD35" s="73">
        <f t="shared" si="77"/>
        <v>226.30064114595973</v>
      </c>
      <c r="BE35" s="73">
        <f t="shared" si="36"/>
        <v>385.94696501091533</v>
      </c>
      <c r="BF35" s="73">
        <f t="shared" si="37"/>
        <v>387.4147349228527</v>
      </c>
      <c r="BG35" s="73">
        <f t="shared" si="38"/>
        <v>387.3312699292262</v>
      </c>
      <c r="BH35" s="73">
        <f t="shared" si="39"/>
        <v>3.89579736310168</v>
      </c>
      <c r="BI35" s="73">
        <f aca="true" t="shared" si="102" ref="BI35:BI98">IF(B35="","",100*($D$6-BC35)/$D$6)</f>
        <v>3.917547687847425</v>
      </c>
      <c r="BJ35" s="73">
        <f aca="true" t="shared" si="103" ref="BJ35:BJ98">IF(B35="","",100*($D$6-BD35)/$D$6)</f>
        <v>2.0089479374464463</v>
      </c>
      <c r="BK35" s="40">
        <f t="shared" si="78"/>
        <v>8.490445135141556</v>
      </c>
      <c r="BL35" s="40">
        <f t="shared" si="79"/>
        <v>10.613056418926945</v>
      </c>
      <c r="BM35" s="40">
        <f t="shared" si="80"/>
        <v>380.21586765875725</v>
      </c>
      <c r="BN35" s="40">
        <f t="shared" si="40"/>
        <v>4.946033085310688</v>
      </c>
      <c r="BO35" s="40">
        <f t="shared" si="7"/>
        <v>10.613056418926945</v>
      </c>
      <c r="BP35" s="40">
        <f t="shared" si="41"/>
        <v>390.65998392053524</v>
      </c>
      <c r="BQ35" s="40">
        <f t="shared" si="42"/>
        <v>2.33500401986619</v>
      </c>
      <c r="BR35" s="40">
        <f t="shared" si="43"/>
        <v>390.8636586372479</v>
      </c>
      <c r="BS35" s="40">
        <f t="shared" si="81"/>
        <v>2.284085340688023</v>
      </c>
      <c r="BT35" s="40">
        <f t="shared" si="44"/>
        <v>392.46399396429456</v>
      </c>
      <c r="BU35" s="40">
        <f t="shared" si="45"/>
        <v>1.8840015089263602</v>
      </c>
      <c r="BV35" s="75">
        <f t="shared" si="46"/>
        <v>0.031541862355212356</v>
      </c>
      <c r="BW35" s="75">
        <f t="shared" si="47"/>
        <v>0.025355482113899614</v>
      </c>
      <c r="BX35" s="40">
        <f t="shared" si="8"/>
        <v>3.528151636121383</v>
      </c>
      <c r="BY35" s="40">
        <f t="shared" si="48"/>
        <v>1.7091769113481827</v>
      </c>
      <c r="BZ35" s="61"/>
      <c r="CA35" s="73">
        <f t="shared" si="49"/>
        <v>0.16427731280786223</v>
      </c>
      <c r="CB35" s="84"/>
      <c r="CC35" s="73">
        <f t="shared" si="50"/>
        <v>8.490445135141556</v>
      </c>
      <c r="CD35" s="73">
        <f t="shared" si="91"/>
        <v>1</v>
      </c>
      <c r="CE35" s="73">
        <f t="shared" si="92"/>
        <v>1</v>
      </c>
      <c r="CF35" s="73">
        <f t="shared" si="93"/>
        <v>1</v>
      </c>
      <c r="CG35" s="73">
        <f t="shared" si="54"/>
        <v>8.490445135141556</v>
      </c>
      <c r="CH35" s="73">
        <f t="shared" si="55"/>
        <v>8.490445135141556</v>
      </c>
      <c r="CI35" s="73">
        <f t="shared" si="56"/>
        <v>8.490445135141556</v>
      </c>
      <c r="CJ35" s="76">
        <f t="shared" si="57"/>
        <v>0</v>
      </c>
      <c r="CK35" s="76">
        <f t="shared" si="82"/>
        <v>0</v>
      </c>
      <c r="CL35" s="76">
        <f t="shared" si="83"/>
        <v>0</v>
      </c>
      <c r="CM35" s="76">
        <f t="shared" si="84"/>
        <v>0</v>
      </c>
      <c r="CN35" s="40">
        <f t="shared" si="9"/>
        <v>7.216878364870323</v>
      </c>
      <c r="CO35" s="40">
        <f t="shared" si="94"/>
        <v>10.957235592599938</v>
      </c>
      <c r="CP35" s="40">
        <f t="shared" si="95"/>
        <v>10.280439411705613</v>
      </c>
      <c r="CQ35" s="40">
        <f t="shared" si="96"/>
        <v>10.442487680598472</v>
      </c>
      <c r="CR35" s="40">
        <f t="shared" si="97"/>
        <v>8.490445135141556</v>
      </c>
      <c r="CS35" s="40">
        <f t="shared" si="87"/>
        <v>8.490445135141556</v>
      </c>
      <c r="CT35" s="40">
        <f t="shared" si="61"/>
        <v>8.490445135141556</v>
      </c>
      <c r="CU35" s="40">
        <f t="shared" si="99"/>
        <v>10.613056418926945</v>
      </c>
      <c r="CV35" s="40">
        <f t="shared" si="100"/>
        <v>10.613056418926945</v>
      </c>
      <c r="CW35" s="40">
        <f t="shared" si="101"/>
        <v>10.613056418926945</v>
      </c>
      <c r="CX35" s="40">
        <f t="shared" si="88"/>
        <v>7.216878364870323</v>
      </c>
      <c r="CY35" s="40">
        <f t="shared" si="89"/>
        <v>7.216878364870323</v>
      </c>
      <c r="CZ35" s="40">
        <f t="shared" si="98"/>
        <v>7.216878364870323</v>
      </c>
      <c r="DA35" s="40">
        <f t="shared" si="66"/>
        <v>0</v>
      </c>
    </row>
    <row r="36" spans="1:105" ht="12.75">
      <c r="A36" s="61" t="s">
        <v>22</v>
      </c>
      <c r="B36" s="61" t="s">
        <v>26</v>
      </c>
      <c r="C36" s="61">
        <v>0</v>
      </c>
      <c r="D36" s="61" t="s">
        <v>306</v>
      </c>
      <c r="E36" s="61">
        <v>28800</v>
      </c>
      <c r="F36" s="61">
        <v>0.9</v>
      </c>
      <c r="G36" s="61" t="s">
        <v>320</v>
      </c>
      <c r="H36" s="120"/>
      <c r="I36" s="61">
        <v>1</v>
      </c>
      <c r="J36" s="61" t="s">
        <v>285</v>
      </c>
      <c r="K36" s="61">
        <v>16</v>
      </c>
      <c r="L36" s="61">
        <v>86</v>
      </c>
      <c r="M36" s="61" t="s">
        <v>285</v>
      </c>
      <c r="N36" s="61">
        <v>16</v>
      </c>
      <c r="O36" s="61">
        <v>86</v>
      </c>
      <c r="P36" s="61" t="s">
        <v>138</v>
      </c>
      <c r="Q36" s="120"/>
      <c r="R36" s="120"/>
      <c r="S36" s="120">
        <v>45</v>
      </c>
      <c r="T36" s="120"/>
      <c r="U36" s="72">
        <f t="shared" si="90"/>
        <v>0</v>
      </c>
      <c r="V36" s="72">
        <f t="shared" si="14"/>
        <v>0</v>
      </c>
      <c r="W36" s="73">
        <f t="shared" si="15"/>
        <v>46.18802153517006</v>
      </c>
      <c r="X36" s="72">
        <f t="shared" si="16"/>
        <v>0</v>
      </c>
      <c r="Y36" s="72">
        <f t="shared" si="17"/>
        <v>0</v>
      </c>
      <c r="Z36" s="72">
        <f t="shared" si="18"/>
        <v>0</v>
      </c>
      <c r="AA36" s="72">
        <f t="shared" si="19"/>
        <v>0</v>
      </c>
      <c r="AB36" s="72">
        <f t="shared" si="20"/>
        <v>0</v>
      </c>
      <c r="AC36" s="72">
        <f t="shared" si="21"/>
        <v>0</v>
      </c>
      <c r="AD36" s="74">
        <f t="shared" si="22"/>
        <v>81.58676363234419</v>
      </c>
      <c r="AE36" s="73">
        <f t="shared" si="67"/>
        <v>45.26012826855698</v>
      </c>
      <c r="AF36" s="40">
        <f t="shared" si="68"/>
        <v>9.047182596420242</v>
      </c>
      <c r="AG36" s="40">
        <f t="shared" si="23"/>
        <v>3.917544980588193</v>
      </c>
      <c r="AH36" s="40">
        <f t="shared" si="24"/>
        <v>14.053035149573589</v>
      </c>
      <c r="AI36" s="260">
        <f t="shared" si="25"/>
        <v>3.513258787393397</v>
      </c>
      <c r="AJ36" s="40">
        <f t="shared" si="5"/>
        <v>39.9827548269615</v>
      </c>
      <c r="AK36" s="40">
        <f t="shared" si="6"/>
        <v>-19.2802935794344</v>
      </c>
      <c r="AL36" s="261">
        <f t="shared" si="26"/>
        <v>44.388629220354304</v>
      </c>
      <c r="AM36" s="40">
        <f t="shared" si="27"/>
        <v>-37.03303565351793</v>
      </c>
      <c r="AN36" s="40">
        <f t="shared" si="28"/>
        <v>-24.454305925490747</v>
      </c>
      <c r="AO36" s="40">
        <f t="shared" si="29"/>
        <v>44.378585015886</v>
      </c>
      <c r="AP36" s="40">
        <f t="shared" si="30"/>
        <v>-3.011310866158373</v>
      </c>
      <c r="AQ36" s="40">
        <f t="shared" si="31"/>
        <v>45.15984009177431</v>
      </c>
      <c r="AR36" s="40">
        <f t="shared" si="32"/>
        <v>45.26012759866315</v>
      </c>
      <c r="AS36" s="40">
        <f t="shared" si="33"/>
        <v>-0.061591692714804136</v>
      </c>
      <c r="AT36" s="40">
        <f t="shared" si="34"/>
        <v>1.4252405868491707</v>
      </c>
      <c r="AU36" s="40">
        <f t="shared" si="35"/>
        <v>1.426570806869972</v>
      </c>
      <c r="AV36" s="73">
        <f t="shared" si="69"/>
        <v>221.94282531775826</v>
      </c>
      <c r="AW36" s="73">
        <f t="shared" si="70"/>
        <v>0.37907848676417266</v>
      </c>
      <c r="AX36" s="73">
        <f t="shared" si="71"/>
        <v>-113.35173349360606</v>
      </c>
      <c r="AY36" s="73">
        <f t="shared" si="72"/>
        <v>-190.75600105812023</v>
      </c>
      <c r="AZ36" s="73">
        <f t="shared" si="73"/>
        <v>-111.97448562418516</v>
      </c>
      <c r="BA36" s="73">
        <f t="shared" si="74"/>
        <v>196.6562858193747</v>
      </c>
      <c r="BB36" s="73">
        <f t="shared" si="75"/>
        <v>221.94314905067037</v>
      </c>
      <c r="BC36" s="73">
        <f t="shared" si="76"/>
        <v>221.8929188272827</v>
      </c>
      <c r="BD36" s="73">
        <f t="shared" si="77"/>
        <v>226.30064114595973</v>
      </c>
      <c r="BE36" s="73">
        <f t="shared" si="36"/>
        <v>385.94696501091533</v>
      </c>
      <c r="BF36" s="73">
        <f t="shared" si="37"/>
        <v>387.4147349228527</v>
      </c>
      <c r="BG36" s="73">
        <f t="shared" si="38"/>
        <v>387.3312699292262</v>
      </c>
      <c r="BH36" s="73">
        <f t="shared" si="39"/>
        <v>3.89579736310168</v>
      </c>
      <c r="BI36" s="73">
        <f t="shared" si="102"/>
        <v>3.917547687847425</v>
      </c>
      <c r="BJ36" s="73">
        <f t="shared" si="103"/>
        <v>2.0089479374464463</v>
      </c>
      <c r="BK36" s="40">
        <f t="shared" si="78"/>
        <v>46.18802153517006</v>
      </c>
      <c r="BL36" s="40">
        <f t="shared" si="79"/>
        <v>46.18802153517006</v>
      </c>
      <c r="BM36" s="40">
        <f t="shared" si="80"/>
        <v>380.21586765875725</v>
      </c>
      <c r="BN36" s="40">
        <f t="shared" si="40"/>
        <v>4.946033085310688</v>
      </c>
      <c r="BO36" s="40">
        <f t="shared" si="7"/>
        <v>46.18802153517006</v>
      </c>
      <c r="BP36" s="40">
        <f t="shared" si="41"/>
        <v>390.65998392053524</v>
      </c>
      <c r="BQ36" s="40">
        <f t="shared" si="42"/>
        <v>2.33500401986619</v>
      </c>
      <c r="BR36" s="40">
        <f t="shared" si="43"/>
        <v>390.8636586372479</v>
      </c>
      <c r="BS36" s="40">
        <f>IF(B36="","",100*($D$5-BR36)/$D$5)</f>
        <v>2.284085340688023</v>
      </c>
      <c r="BT36" s="40">
        <f t="shared" si="44"/>
        <v>392.46399396429456</v>
      </c>
      <c r="BU36" s="40">
        <f t="shared" si="45"/>
        <v>1.8840015089263602</v>
      </c>
      <c r="BV36" s="75">
        <f t="shared" si="46"/>
        <v>0.031541862355212356</v>
      </c>
      <c r="BW36" s="75">
        <f t="shared" si="47"/>
        <v>0.025355482113899614</v>
      </c>
      <c r="BX36" s="40">
        <f t="shared" si="8"/>
        <v>3.528151636121383</v>
      </c>
      <c r="BY36" s="40">
        <f t="shared" si="48"/>
        <v>2.7346830581570925</v>
      </c>
      <c r="BZ36" s="61"/>
      <c r="CA36" s="73">
        <f t="shared" si="49"/>
        <v>0.4205499207881274</v>
      </c>
      <c r="CB36" s="84"/>
      <c r="CC36" s="73">
        <f t="shared" si="50"/>
        <v>0</v>
      </c>
      <c r="CD36" s="73">
        <f t="shared" si="91"/>
        <v>1</v>
      </c>
      <c r="CE36" s="73">
        <f t="shared" si="92"/>
        <v>1</v>
      </c>
      <c r="CF36" s="73">
        <f t="shared" si="93"/>
        <v>1</v>
      </c>
      <c r="CG36" s="73">
        <f t="shared" si="54"/>
        <v>0</v>
      </c>
      <c r="CH36" s="73">
        <f t="shared" si="55"/>
        <v>0</v>
      </c>
      <c r="CI36" s="73">
        <f t="shared" si="56"/>
        <v>0</v>
      </c>
      <c r="CJ36" s="76">
        <f t="shared" si="57"/>
        <v>0</v>
      </c>
      <c r="CK36" s="76">
        <f t="shared" si="82"/>
        <v>0</v>
      </c>
      <c r="CL36" s="76">
        <f t="shared" si="83"/>
        <v>0</v>
      </c>
      <c r="CM36" s="76">
        <f t="shared" si="84"/>
        <v>0</v>
      </c>
      <c r="CN36" s="40">
        <f t="shared" si="9"/>
        <v>41.569219381653056</v>
      </c>
      <c r="CO36" s="40">
        <f t="shared" si="94"/>
        <v>44.388629220354304</v>
      </c>
      <c r="CP36" s="40">
        <f t="shared" si="95"/>
        <v>44.378585015886</v>
      </c>
      <c r="CQ36" s="40">
        <f t="shared" si="96"/>
        <v>45.26012759866315</v>
      </c>
      <c r="CR36" s="40">
        <f t="shared" si="97"/>
        <v>46.18802153517006</v>
      </c>
      <c r="CS36" s="40">
        <f t="shared" si="87"/>
        <v>46.18802153517006</v>
      </c>
      <c r="CT36" s="40">
        <f t="shared" si="61"/>
        <v>46.18802153517006</v>
      </c>
      <c r="CU36" s="40">
        <f t="shared" si="99"/>
        <v>46.18802153517006</v>
      </c>
      <c r="CV36" s="40">
        <f t="shared" si="100"/>
        <v>46.18802153517006</v>
      </c>
      <c r="CW36" s="40">
        <f t="shared" si="101"/>
        <v>46.18802153517006</v>
      </c>
      <c r="CX36" s="40">
        <f t="shared" si="88"/>
        <v>41.569219381653056</v>
      </c>
      <c r="CY36" s="40">
        <f t="shared" si="89"/>
        <v>41.569219381653056</v>
      </c>
      <c r="CZ36" s="40">
        <f t="shared" si="98"/>
        <v>41.569219381653056</v>
      </c>
      <c r="DA36" s="40">
        <f t="shared" si="66"/>
        <v>0</v>
      </c>
    </row>
    <row r="37" spans="1:105" ht="12.75">
      <c r="A37" s="61"/>
      <c r="B37" s="61"/>
      <c r="C37" s="61"/>
      <c r="D37" s="61"/>
      <c r="E37" s="61"/>
      <c r="F37" s="61"/>
      <c r="G37" s="61"/>
      <c r="H37" s="120"/>
      <c r="I37" s="61"/>
      <c r="J37" s="61"/>
      <c r="K37" s="61"/>
      <c r="L37" s="61"/>
      <c r="M37" s="61"/>
      <c r="N37" s="61"/>
      <c r="O37" s="61"/>
      <c r="P37" s="61"/>
      <c r="Q37" s="120"/>
      <c r="R37" s="120"/>
      <c r="S37" s="120"/>
      <c r="T37" s="120"/>
      <c r="U37" s="72">
        <f t="shared" si="90"/>
      </c>
      <c r="V37" s="72">
        <f t="shared" si="14"/>
      </c>
      <c r="W37" s="73">
        <f t="shared" si="15"/>
      </c>
      <c r="X37" s="72">
        <f t="shared" si="16"/>
      </c>
      <c r="Y37" s="72">
        <f t="shared" si="17"/>
      </c>
      <c r="Z37" s="72">
        <f t="shared" si="18"/>
      </c>
      <c r="AA37" s="72">
        <f t="shared" si="19"/>
      </c>
      <c r="AB37" s="72">
        <f t="shared" si="20"/>
      </c>
      <c r="AC37" s="72">
        <f t="shared" si="21"/>
      </c>
      <c r="AD37" s="74">
        <f t="shared" si="22"/>
      </c>
      <c r="AE37" s="73">
        <f t="shared" si="67"/>
      </c>
      <c r="AF37" s="40">
        <f t="shared" si="68"/>
      </c>
      <c r="AG37" s="40">
        <f>IF(B37="","",100*AF37/$D$6)</f>
      </c>
      <c r="AH37" s="40">
        <f t="shared" si="24"/>
      </c>
      <c r="AI37" s="260">
        <f t="shared" si="25"/>
      </c>
      <c r="AJ37" s="40">
        <f t="shared" si="5"/>
      </c>
      <c r="AK37" s="40">
        <f t="shared" si="6"/>
      </c>
      <c r="AL37" s="261">
        <f t="shared" si="26"/>
      </c>
      <c r="AM37" s="40">
        <f t="shared" si="27"/>
      </c>
      <c r="AN37" s="40">
        <f t="shared" si="28"/>
      </c>
      <c r="AO37" s="40">
        <f t="shared" si="29"/>
      </c>
      <c r="AP37" s="40">
        <f t="shared" si="30"/>
      </c>
      <c r="AQ37" s="40">
        <f t="shared" si="31"/>
      </c>
      <c r="AR37" s="40">
        <f t="shared" si="32"/>
      </c>
      <c r="AS37" s="40">
        <f t="shared" si="33"/>
      </c>
      <c r="AT37" s="40">
        <f t="shared" si="34"/>
      </c>
      <c r="AU37" s="40">
        <f t="shared" si="35"/>
      </c>
      <c r="AV37" s="73">
        <f t="shared" si="69"/>
      </c>
      <c r="AW37" s="73">
        <f t="shared" si="70"/>
      </c>
      <c r="AX37" s="73">
        <f t="shared" si="71"/>
      </c>
      <c r="AY37" s="73">
        <f t="shared" si="72"/>
      </c>
      <c r="AZ37" s="73">
        <f t="shared" si="73"/>
      </c>
      <c r="BA37" s="73">
        <f t="shared" si="74"/>
      </c>
      <c r="BB37" s="73">
        <f t="shared" si="75"/>
      </c>
      <c r="BC37" s="73">
        <f t="shared" si="76"/>
      </c>
      <c r="BD37" s="73">
        <f t="shared" si="77"/>
      </c>
      <c r="BE37" s="73">
        <f t="shared" si="36"/>
      </c>
      <c r="BF37" s="73">
        <f t="shared" si="37"/>
      </c>
      <c r="BG37" s="73">
        <f t="shared" si="38"/>
      </c>
      <c r="BH37" s="73">
        <f t="shared" si="39"/>
      </c>
      <c r="BI37" s="73">
        <f t="shared" si="102"/>
      </c>
      <c r="BJ37" s="73">
        <f t="shared" si="103"/>
      </c>
      <c r="BK37" s="40">
        <f t="shared" si="78"/>
      </c>
      <c r="BL37" s="40">
        <f t="shared" si="79"/>
      </c>
      <c r="BM37" s="40">
        <f t="shared" si="80"/>
      </c>
      <c r="BN37" s="40">
        <f t="shared" si="40"/>
      </c>
      <c r="BO37" s="40">
        <f t="shared" si="7"/>
      </c>
      <c r="BP37" s="40">
        <f t="shared" si="41"/>
      </c>
      <c r="BQ37" s="40">
        <f t="shared" si="42"/>
      </c>
      <c r="BR37" s="40">
        <f t="shared" si="43"/>
      </c>
      <c r="BS37" s="40">
        <f t="shared" si="81"/>
      </c>
      <c r="BT37" s="40">
        <f t="shared" si="44"/>
      </c>
      <c r="BU37" s="40">
        <f t="shared" si="45"/>
      </c>
      <c r="BV37" s="75">
        <f t="shared" si="46"/>
      </c>
      <c r="BW37" s="75">
        <f t="shared" si="47"/>
      </c>
      <c r="BX37" s="40">
        <f t="shared" si="8"/>
      </c>
      <c r="BY37" s="40">
        <f t="shared" si="48"/>
      </c>
      <c r="BZ37" s="61"/>
      <c r="CA37" s="73">
        <f t="shared" si="49"/>
      </c>
      <c r="CB37" s="84"/>
      <c r="CC37" s="73">
        <f t="shared" si="50"/>
      </c>
      <c r="CD37" s="73">
        <f t="shared" si="91"/>
      </c>
      <c r="CE37" s="73">
        <f t="shared" si="92"/>
      </c>
      <c r="CF37" s="73">
        <f t="shared" si="93"/>
      </c>
      <c r="CG37" s="73">
        <f t="shared" si="54"/>
      </c>
      <c r="CH37" s="73">
        <f t="shared" si="55"/>
      </c>
      <c r="CI37" s="73">
        <f t="shared" si="56"/>
      </c>
      <c r="CJ37" s="76">
        <f t="shared" si="57"/>
      </c>
      <c r="CK37" s="76">
        <f t="shared" si="82"/>
      </c>
      <c r="CL37" s="76">
        <f t="shared" si="83"/>
      </c>
      <c r="CM37" s="76">
        <f t="shared" si="84"/>
      </c>
      <c r="CN37" s="40">
        <f t="shared" si="9"/>
      </c>
      <c r="CO37" s="40">
        <f t="shared" si="94"/>
      </c>
      <c r="CP37" s="40">
        <f t="shared" si="95"/>
      </c>
      <c r="CQ37" s="40">
        <f t="shared" si="96"/>
      </c>
      <c r="CR37" s="40">
        <f t="shared" si="97"/>
      </c>
      <c r="CS37" s="40">
        <f t="shared" si="87"/>
      </c>
      <c r="CT37" s="40">
        <f t="shared" si="61"/>
      </c>
      <c r="CU37" s="40">
        <f t="shared" si="99"/>
      </c>
      <c r="CV37" s="40">
        <f t="shared" si="100"/>
      </c>
      <c r="CW37" s="40">
        <f t="shared" si="101"/>
      </c>
      <c r="CX37" s="40">
        <f t="shared" si="88"/>
      </c>
      <c r="CY37" s="40">
        <f t="shared" si="89"/>
      </c>
      <c r="CZ37" s="40">
        <f t="shared" si="98"/>
      </c>
      <c r="DA37" s="40">
        <f t="shared" si="66"/>
      </c>
    </row>
    <row r="38" spans="1:105" ht="12.75">
      <c r="A38" s="61" t="s">
        <v>10</v>
      </c>
      <c r="B38" s="61" t="s">
        <v>27</v>
      </c>
      <c r="C38" s="61">
        <v>20</v>
      </c>
      <c r="D38" s="61" t="s">
        <v>303</v>
      </c>
      <c r="E38" s="61">
        <v>250</v>
      </c>
      <c r="F38" s="61">
        <v>0.9</v>
      </c>
      <c r="G38" s="61" t="s">
        <v>319</v>
      </c>
      <c r="H38" s="120"/>
      <c r="I38" s="61">
        <v>1</v>
      </c>
      <c r="J38" s="61" t="s">
        <v>285</v>
      </c>
      <c r="K38" s="61">
        <v>10</v>
      </c>
      <c r="L38" s="61">
        <v>65</v>
      </c>
      <c r="M38" s="61" t="s">
        <v>285</v>
      </c>
      <c r="N38" s="61">
        <v>10</v>
      </c>
      <c r="O38" s="61">
        <v>65</v>
      </c>
      <c r="P38" s="61" t="s">
        <v>136</v>
      </c>
      <c r="Q38" s="120"/>
      <c r="R38" s="120"/>
      <c r="S38" s="120">
        <v>50</v>
      </c>
      <c r="T38" s="120">
        <v>0.9</v>
      </c>
      <c r="U38" s="72">
        <f t="shared" si="90"/>
        <v>0.036719999999999996</v>
      </c>
      <c r="V38" s="72">
        <f t="shared" si="14"/>
        <v>0.036719999999999996</v>
      </c>
      <c r="W38" s="73">
        <f t="shared" si="15"/>
        <v>1.9485571585149868</v>
      </c>
      <c r="X38" s="72">
        <f t="shared" si="16"/>
        <v>0.04110952747348861</v>
      </c>
      <c r="Y38" s="72">
        <f t="shared" si="17"/>
        <v>0.04106998610409567</v>
      </c>
      <c r="Z38" s="72">
        <f t="shared" si="18"/>
        <v>0.041070047815288155</v>
      </c>
      <c r="AA38" s="72">
        <f t="shared" si="19"/>
        <v>0.0410461143254854</v>
      </c>
      <c r="AB38" s="72">
        <f t="shared" si="20"/>
        <v>0</v>
      </c>
      <c r="AC38" s="72">
        <f t="shared" si="21"/>
        <v>0</v>
      </c>
      <c r="AD38" s="74">
        <f t="shared" si="22"/>
        <v>52.323990673495075</v>
      </c>
      <c r="AE38" s="73">
        <f t="shared" si="67"/>
        <v>5.820839296063833</v>
      </c>
      <c r="AF38" s="40">
        <f t="shared" si="68"/>
        <v>0.6140352937434557</v>
      </c>
      <c r="AG38" s="40">
        <f aca="true" t="shared" si="104" ref="AG38:AG100">IF(B38="","",100*AF38/$D$6)</f>
        <v>0.26588508160103624</v>
      </c>
      <c r="AH38" s="40">
        <f t="shared" si="24"/>
        <v>0.8404290535012819</v>
      </c>
      <c r="AI38" s="260">
        <f t="shared" si="25"/>
        <v>0.21010726337532049</v>
      </c>
      <c r="AJ38" s="40">
        <f t="shared" si="5"/>
        <v>5.241537754433783</v>
      </c>
      <c r="AK38" s="40">
        <f t="shared" si="6"/>
        <v>-2.5314921125286682</v>
      </c>
      <c r="AL38" s="261">
        <f t="shared" si="26"/>
        <v>5.8208393163657774</v>
      </c>
      <c r="AM38" s="40">
        <f t="shared" si="27"/>
        <v>-3.2139243408543305</v>
      </c>
      <c r="AN38" s="40">
        <f t="shared" si="28"/>
        <v>-2.179640302894142</v>
      </c>
      <c r="AO38" s="40">
        <f t="shared" si="29"/>
        <v>3.883315789211123</v>
      </c>
      <c r="AP38" s="40">
        <f t="shared" si="30"/>
        <v>-0.28620453880144003</v>
      </c>
      <c r="AQ38" s="40">
        <f t="shared" si="31"/>
        <v>3.876541375120211</v>
      </c>
      <c r="AR38" s="40">
        <f t="shared" si="32"/>
        <v>3.887092238556919</v>
      </c>
      <c r="AS38" s="40">
        <f t="shared" si="33"/>
        <v>1.7414088747780125</v>
      </c>
      <c r="AT38" s="40">
        <f t="shared" si="34"/>
        <v>-0.8345910403025991</v>
      </c>
      <c r="AU38" s="40">
        <f t="shared" si="35"/>
        <v>1.9310740725588438</v>
      </c>
      <c r="AV38" s="73">
        <f t="shared" si="69"/>
        <v>230.3260440322492</v>
      </c>
      <c r="AW38" s="73">
        <f t="shared" si="70"/>
        <v>0.1141097022506107</v>
      </c>
      <c r="AX38" s="73">
        <f t="shared" si="71"/>
        <v>-115.35297118617815</v>
      </c>
      <c r="AY38" s="73">
        <f t="shared" si="72"/>
        <v>-199.4714146747786</v>
      </c>
      <c r="AZ38" s="73">
        <f t="shared" si="73"/>
        <v>-115.34196567337597</v>
      </c>
      <c r="BA38" s="73">
        <f t="shared" si="74"/>
        <v>199.77127370793298</v>
      </c>
      <c r="BB38" s="73">
        <f t="shared" si="75"/>
        <v>230.3260722987516</v>
      </c>
      <c r="BC38" s="73">
        <f t="shared" si="76"/>
        <v>230.4238556092592</v>
      </c>
      <c r="BD38" s="73">
        <f t="shared" si="77"/>
        <v>230.67798083971542</v>
      </c>
      <c r="BE38" s="73">
        <f t="shared" si="36"/>
        <v>399.15957097786776</v>
      </c>
      <c r="BF38" s="73">
        <f t="shared" si="37"/>
        <v>399.2426885344004</v>
      </c>
      <c r="BG38" s="73">
        <f t="shared" si="38"/>
        <v>399.1858665742565</v>
      </c>
      <c r="BH38" s="73">
        <f t="shared" si="39"/>
        <v>0.26588511769492895</v>
      </c>
      <c r="BI38" s="73">
        <f t="shared" si="102"/>
        <v>0.22354370221206965</v>
      </c>
      <c r="BJ38" s="73">
        <f t="shared" si="103"/>
        <v>0.1135042495532368</v>
      </c>
      <c r="BK38" s="40">
        <f t="shared" si="78"/>
        <v>13.639900109604907</v>
      </c>
      <c r="BL38" s="40">
        <f t="shared" si="79"/>
        <v>13.639900109604907</v>
      </c>
      <c r="BM38" s="40">
        <f t="shared" si="80"/>
        <v>398.54133918234066</v>
      </c>
      <c r="BN38" s="40">
        <f t="shared" si="40"/>
        <v>0.36466520441483397</v>
      </c>
      <c r="BO38" s="40">
        <f t="shared" si="7"/>
        <v>5.84567147554496</v>
      </c>
      <c r="BP38" s="40">
        <f t="shared" si="41"/>
        <v>399.3654390091938</v>
      </c>
      <c r="BQ38" s="40">
        <f t="shared" si="42"/>
        <v>0.15864024770155538</v>
      </c>
      <c r="BR38" s="40">
        <f t="shared" si="43"/>
        <v>399.4637578742172</v>
      </c>
      <c r="BS38" s="40">
        <f t="shared" si="81"/>
        <v>0.13406053144569796</v>
      </c>
      <c r="BT38" s="40">
        <f t="shared" si="44"/>
        <v>399.5257882989297</v>
      </c>
      <c r="BU38" s="40">
        <f t="shared" si="45"/>
        <v>0.11855292526757921</v>
      </c>
      <c r="BV38" s="75">
        <f t="shared" si="46"/>
        <v>0.037336249999999994</v>
      </c>
      <c r="BW38" s="75">
        <f t="shared" si="47"/>
        <v>0.0007456624999999999</v>
      </c>
      <c r="BX38" s="40">
        <f t="shared" si="8"/>
        <v>7.051291847326828</v>
      </c>
      <c r="BY38" s="40">
        <f t="shared" si="48"/>
        <v>1.7091769113481827</v>
      </c>
      <c r="BZ38" s="61"/>
      <c r="CA38" s="73">
        <f t="shared" si="49"/>
        <v>0.041127725725937585</v>
      </c>
      <c r="CB38" s="84"/>
      <c r="CC38" s="73">
        <f t="shared" si="50"/>
        <v>0</v>
      </c>
      <c r="CD38" s="73">
        <f t="shared" si="91"/>
        <v>1</v>
      </c>
      <c r="CE38" s="73">
        <f t="shared" si="92"/>
        <v>0</v>
      </c>
      <c r="CF38" s="73">
        <f t="shared" si="93"/>
        <v>0</v>
      </c>
      <c r="CG38" s="73">
        <f t="shared" si="54"/>
        <v>0</v>
      </c>
      <c r="CH38" s="73">
        <f t="shared" si="55"/>
        <v>0</v>
      </c>
      <c r="CI38" s="73">
        <f t="shared" si="56"/>
        <v>0</v>
      </c>
      <c r="CJ38" s="76">
        <f t="shared" si="57"/>
        <v>0</v>
      </c>
      <c r="CK38" s="76">
        <f t="shared" si="82"/>
        <v>0</v>
      </c>
      <c r="CL38" s="76">
        <f t="shared" si="83"/>
        <v>20</v>
      </c>
      <c r="CM38" s="76">
        <f t="shared" si="84"/>
        <v>0</v>
      </c>
      <c r="CN38" s="40">
        <f t="shared" si="9"/>
        <v>12.275910098644417</v>
      </c>
      <c r="CO38" s="40">
        <f t="shared" si="94"/>
        <v>5.8208393163657774</v>
      </c>
      <c r="CP38" s="40">
        <f t="shared" si="95"/>
        <v>3.883315789211123</v>
      </c>
      <c r="CQ38" s="40">
        <f t="shared" si="96"/>
        <v>3.887092238556919</v>
      </c>
      <c r="CR38" s="40">
        <f t="shared" si="97"/>
        <v>5.84567147554496</v>
      </c>
      <c r="CS38" s="40">
        <f t="shared" si="87"/>
        <v>3.8971143170299736</v>
      </c>
      <c r="CT38" s="40">
        <f t="shared" si="61"/>
        <v>3.8971143170299736</v>
      </c>
      <c r="CU38" s="40">
        <f t="shared" si="99"/>
        <v>5.84567147554496</v>
      </c>
      <c r="CV38" s="40">
        <f t="shared" si="100"/>
        <v>3.8971143170299736</v>
      </c>
      <c r="CW38" s="40">
        <f t="shared" si="101"/>
        <v>3.8971143170299736</v>
      </c>
      <c r="CX38" s="40">
        <f t="shared" si="88"/>
        <v>5.261104327990465</v>
      </c>
      <c r="CY38" s="40">
        <f t="shared" si="89"/>
        <v>3.507402885326976</v>
      </c>
      <c r="CZ38" s="40">
        <f t="shared" si="98"/>
        <v>3.507402885326976</v>
      </c>
      <c r="DA38" s="40">
        <f t="shared" si="66"/>
        <v>2.632768530764078</v>
      </c>
    </row>
    <row r="39" spans="1:105" ht="12.75">
      <c r="A39" s="61" t="s">
        <v>27</v>
      </c>
      <c r="B39" s="61" t="s">
        <v>28</v>
      </c>
      <c r="C39" s="61">
        <v>20</v>
      </c>
      <c r="D39" s="61" t="s">
        <v>304</v>
      </c>
      <c r="E39" s="61">
        <v>250</v>
      </c>
      <c r="F39" s="61">
        <v>0.9</v>
      </c>
      <c r="G39" s="61" t="s">
        <v>319</v>
      </c>
      <c r="H39" s="120"/>
      <c r="I39" s="61">
        <v>1</v>
      </c>
      <c r="J39" s="61" t="s">
        <v>285</v>
      </c>
      <c r="K39" s="61">
        <v>10</v>
      </c>
      <c r="L39" s="61">
        <v>65</v>
      </c>
      <c r="M39" s="61" t="s">
        <v>285</v>
      </c>
      <c r="N39" s="61">
        <v>10</v>
      </c>
      <c r="O39" s="61">
        <v>65</v>
      </c>
      <c r="P39" s="61" t="s">
        <v>136</v>
      </c>
      <c r="Q39" s="120"/>
      <c r="R39" s="120"/>
      <c r="S39" s="120">
        <v>50</v>
      </c>
      <c r="T39" s="120">
        <v>0.9</v>
      </c>
      <c r="U39" s="72">
        <f t="shared" si="90"/>
        <v>0.036719999999999996</v>
      </c>
      <c r="V39" s="72">
        <f t="shared" si="14"/>
        <v>0.036719999999999996</v>
      </c>
      <c r="W39" s="73">
        <f t="shared" si="15"/>
        <v>1.9485571585149868</v>
      </c>
      <c r="X39" s="72">
        <f t="shared" si="16"/>
        <v>0.041069890588102516</v>
      </c>
      <c r="Y39" s="72">
        <f t="shared" si="17"/>
        <v>0.041069986102747404</v>
      </c>
      <c r="Z39" s="72">
        <f t="shared" si="18"/>
        <v>0.041070047815440616</v>
      </c>
      <c r="AA39" s="72">
        <f t="shared" si="19"/>
        <v>0.041038272421213995</v>
      </c>
      <c r="AB39" s="72">
        <f t="shared" si="20"/>
        <v>0</v>
      </c>
      <c r="AC39" s="72">
        <f t="shared" si="21"/>
        <v>0</v>
      </c>
      <c r="AD39" s="74">
        <f t="shared" si="22"/>
        <v>52.323990673495075</v>
      </c>
      <c r="AE39" s="73">
        <f t="shared" si="67"/>
        <v>3.887092238556919</v>
      </c>
      <c r="AF39" s="40">
        <f t="shared" si="68"/>
        <v>0.757079943823129</v>
      </c>
      <c r="AG39" s="40">
        <f>IF(B39="","",100*AF39/$D$6)</f>
        <v>0.3278252320232627</v>
      </c>
      <c r="AH39" s="40">
        <f t="shared" si="24"/>
        <v>1.0890776580878878</v>
      </c>
      <c r="AI39" s="260">
        <f t="shared" si="25"/>
        <v>0.27226941452197195</v>
      </c>
      <c r="AJ39" s="40">
        <f t="shared" si="5"/>
        <v>3.4920796948169146</v>
      </c>
      <c r="AK39" s="40">
        <f t="shared" si="6"/>
        <v>-1.6852606681319515</v>
      </c>
      <c r="AL39" s="261">
        <f t="shared" si="26"/>
        <v>3.877463618721025</v>
      </c>
      <c r="AM39" s="40">
        <f t="shared" si="27"/>
        <v>-3.2139243095261416</v>
      </c>
      <c r="AN39" s="40">
        <f t="shared" si="28"/>
        <v>-2.1796402653033793</v>
      </c>
      <c r="AO39" s="40">
        <f t="shared" si="29"/>
        <v>3.883315742184103</v>
      </c>
      <c r="AP39" s="40">
        <f t="shared" si="30"/>
        <v>-0.28620454827741615</v>
      </c>
      <c r="AQ39" s="40">
        <f t="shared" si="31"/>
        <v>3.876541357779385</v>
      </c>
      <c r="AR39" s="40">
        <f t="shared" si="32"/>
        <v>3.887092221960873</v>
      </c>
      <c r="AS39" s="40">
        <f t="shared" si="33"/>
        <v>-0.008049162986643155</v>
      </c>
      <c r="AT39" s="40">
        <f t="shared" si="34"/>
        <v>0.01164042434405399</v>
      </c>
      <c r="AU39" s="40">
        <f t="shared" si="35"/>
        <v>0.014152332093870287</v>
      </c>
      <c r="AV39" s="73">
        <f t="shared" si="69"/>
        <v>230.18295502500155</v>
      </c>
      <c r="AW39" s="73">
        <f t="shared" si="70"/>
        <v>0.1828454705978927</v>
      </c>
      <c r="AX39" s="73">
        <f t="shared" si="71"/>
        <v>-115.22064503570722</v>
      </c>
      <c r="AY39" s="73">
        <f t="shared" si="72"/>
        <v>-199.38237458227894</v>
      </c>
      <c r="AZ39" s="73">
        <f t="shared" si="73"/>
        <v>-115.3298809151498</v>
      </c>
      <c r="BA39" s="73">
        <f t="shared" si="74"/>
        <v>199.61158626610512</v>
      </c>
      <c r="BB39" s="73">
        <f t="shared" si="75"/>
        <v>230.183027646497</v>
      </c>
      <c r="BC39" s="73">
        <f t="shared" si="76"/>
        <v>230.280542678952</v>
      </c>
      <c r="BD39" s="73">
        <f t="shared" si="77"/>
        <v>230.5336565527328</v>
      </c>
      <c r="BE39" s="73">
        <f t="shared" si="36"/>
        <v>398.91092237447094</v>
      </c>
      <c r="BF39" s="73">
        <f t="shared" si="37"/>
        <v>398.9939758015892</v>
      </c>
      <c r="BG39" s="73">
        <f t="shared" si="38"/>
        <v>398.93726631475226</v>
      </c>
      <c r="BH39" s="73">
        <f t="shared" si="39"/>
        <v>0.327825269058921</v>
      </c>
      <c r="BI39" s="73">
        <f t="shared" si="102"/>
        <v>0.2856000213804771</v>
      </c>
      <c r="BJ39" s="73">
        <f t="shared" si="103"/>
        <v>0.17599849900825068</v>
      </c>
      <c r="BK39" s="40">
        <f t="shared" si="78"/>
        <v>11.69134295108992</v>
      </c>
      <c r="BL39" s="40">
        <f t="shared" si="79"/>
        <v>11.69134295108992</v>
      </c>
      <c r="BM39" s="40">
        <f t="shared" si="80"/>
        <v>397.8721171823407</v>
      </c>
      <c r="BN39" s="40">
        <f t="shared" si="40"/>
        <v>0.5319707044148316</v>
      </c>
      <c r="BO39" s="40">
        <f t="shared" si="7"/>
        <v>3.8971143170299736</v>
      </c>
      <c r="BP39" s="40">
        <f t="shared" si="41"/>
        <v>399.1423650091938</v>
      </c>
      <c r="BQ39" s="40">
        <f t="shared" si="42"/>
        <v>0.2144087477015546</v>
      </c>
      <c r="BR39" s="40">
        <f t="shared" si="43"/>
        <v>399.2406838742172</v>
      </c>
      <c r="BS39" s="40">
        <f t="shared" si="81"/>
        <v>0.18982903144569718</v>
      </c>
      <c r="BT39" s="40">
        <f t="shared" si="44"/>
        <v>399.3027142989297</v>
      </c>
      <c r="BU39" s="40">
        <f t="shared" si="45"/>
        <v>0.17432142526757843</v>
      </c>
      <c r="BV39" s="75">
        <f t="shared" si="46"/>
        <v>0.07405624999999999</v>
      </c>
      <c r="BW39" s="75">
        <f t="shared" si="47"/>
        <v>0.0007456624999999999</v>
      </c>
      <c r="BX39" s="40">
        <f t="shared" si="8"/>
        <v>4.650275723329592</v>
      </c>
      <c r="BY39" s="40">
        <f t="shared" si="48"/>
        <v>1.7091769113481827</v>
      </c>
      <c r="BZ39" s="61"/>
      <c r="CA39" s="73">
        <f t="shared" si="49"/>
        <v>0.09456156852756258</v>
      </c>
      <c r="CB39" s="84"/>
      <c r="CC39" s="73">
        <f t="shared" si="50"/>
        <v>0</v>
      </c>
      <c r="CD39" s="73">
        <f t="shared" si="91"/>
        <v>0</v>
      </c>
      <c r="CE39" s="73">
        <f t="shared" si="92"/>
        <v>1</v>
      </c>
      <c r="CF39" s="73">
        <f t="shared" si="93"/>
        <v>0</v>
      </c>
      <c r="CG39" s="73">
        <f t="shared" si="54"/>
        <v>0</v>
      </c>
      <c r="CH39" s="73">
        <f t="shared" si="55"/>
        <v>0</v>
      </c>
      <c r="CI39" s="73">
        <f t="shared" si="56"/>
        <v>0</v>
      </c>
      <c r="CJ39" s="76">
        <f t="shared" si="57"/>
        <v>0</v>
      </c>
      <c r="CK39" s="76">
        <f t="shared" si="82"/>
        <v>0</v>
      </c>
      <c r="CL39" s="76">
        <f t="shared" si="83"/>
        <v>20</v>
      </c>
      <c r="CM39" s="76">
        <f t="shared" si="84"/>
        <v>0</v>
      </c>
      <c r="CN39" s="40">
        <f t="shared" si="9"/>
        <v>10.52220865598093</v>
      </c>
      <c r="CO39" s="40">
        <f t="shared" si="94"/>
        <v>3.877463618721025</v>
      </c>
      <c r="CP39" s="40">
        <f t="shared" si="95"/>
        <v>3.883315742184103</v>
      </c>
      <c r="CQ39" s="40">
        <f t="shared" si="96"/>
        <v>3.887092221960873</v>
      </c>
      <c r="CR39" s="40">
        <f t="shared" si="97"/>
        <v>3.8971143170299736</v>
      </c>
      <c r="CS39" s="40">
        <f t="shared" si="87"/>
        <v>3.8971143170299736</v>
      </c>
      <c r="CT39" s="40">
        <f t="shared" si="61"/>
        <v>3.8971143170299736</v>
      </c>
      <c r="CU39" s="40">
        <f t="shared" si="99"/>
        <v>3.8971143170299736</v>
      </c>
      <c r="CV39" s="40">
        <f t="shared" si="100"/>
        <v>3.8971143170299736</v>
      </c>
      <c r="CW39" s="40">
        <f t="shared" si="101"/>
        <v>3.8971143170299736</v>
      </c>
      <c r="CX39" s="40">
        <f t="shared" si="88"/>
        <v>3.507402885326976</v>
      </c>
      <c r="CY39" s="40">
        <f t="shared" si="89"/>
        <v>3.507402885326976</v>
      </c>
      <c r="CZ39" s="40">
        <f t="shared" si="98"/>
        <v>3.507402885326976</v>
      </c>
      <c r="DA39" s="40">
        <f t="shared" si="66"/>
        <v>1.8573629721123837</v>
      </c>
    </row>
    <row r="40" spans="1:105" ht="12.75">
      <c r="A40" s="61" t="s">
        <v>28</v>
      </c>
      <c r="B40" s="61" t="s">
        <v>29</v>
      </c>
      <c r="C40" s="61">
        <v>20</v>
      </c>
      <c r="D40" s="61"/>
      <c r="E40" s="61"/>
      <c r="F40" s="61"/>
      <c r="G40" s="61"/>
      <c r="H40" s="120"/>
      <c r="I40" s="61">
        <v>1</v>
      </c>
      <c r="J40" s="61" t="s">
        <v>285</v>
      </c>
      <c r="K40" s="61">
        <v>10</v>
      </c>
      <c r="L40" s="61">
        <v>65</v>
      </c>
      <c r="M40" s="61" t="s">
        <v>285</v>
      </c>
      <c r="N40" s="61">
        <v>10</v>
      </c>
      <c r="O40" s="61">
        <v>65</v>
      </c>
      <c r="P40" s="61" t="s">
        <v>136</v>
      </c>
      <c r="Q40" s="120"/>
      <c r="R40" s="120"/>
      <c r="S40" s="120">
        <v>50</v>
      </c>
      <c r="T40" s="120">
        <v>0.9</v>
      </c>
      <c r="U40" s="72">
        <f t="shared" si="90"/>
        <v>0.036719999999999996</v>
      </c>
      <c r="V40" s="72">
        <f t="shared" si="14"/>
        <v>0.036719999999999996</v>
      </c>
      <c r="W40" s="73">
        <f t="shared" si="15"/>
        <v>0</v>
      </c>
      <c r="X40" s="72">
        <f t="shared" si="16"/>
        <v>0.04106989058824427</v>
      </c>
      <c r="Y40" s="72">
        <f t="shared" si="17"/>
        <v>0.041046189633559396</v>
      </c>
      <c r="Z40" s="72">
        <f t="shared" si="18"/>
        <v>0.041070047815169285</v>
      </c>
      <c r="AA40" s="72">
        <f t="shared" si="19"/>
        <v>0.04104621078025927</v>
      </c>
      <c r="AB40" s="72">
        <f t="shared" si="20"/>
        <v>0</v>
      </c>
      <c r="AC40" s="72">
        <f t="shared" si="21"/>
        <v>0</v>
      </c>
      <c r="AD40" s="74">
        <f t="shared" si="22"/>
        <v>52.323990673495075</v>
      </c>
      <c r="AE40" s="73">
        <f t="shared" si="67"/>
        <v>3.887092221960873</v>
      </c>
      <c r="AF40" s="40">
        <f t="shared" si="68"/>
        <v>0.9661610483537686</v>
      </c>
      <c r="AG40" s="40">
        <f t="shared" si="104"/>
        <v>0.41836000601068446</v>
      </c>
      <c r="AH40" s="40">
        <f t="shared" si="24"/>
        <v>1.3112976886742445</v>
      </c>
      <c r="AI40" s="260">
        <f t="shared" si="25"/>
        <v>0.3278244221685611</v>
      </c>
      <c r="AJ40" s="40">
        <f t="shared" si="5"/>
        <v>3.4920796856143452</v>
      </c>
      <c r="AK40" s="40">
        <f t="shared" si="6"/>
        <v>-1.685260686729246</v>
      </c>
      <c r="AL40" s="261">
        <f t="shared" si="26"/>
        <v>3.877463618516041</v>
      </c>
      <c r="AM40" s="40">
        <f t="shared" si="27"/>
        <v>-1.6056748470972328</v>
      </c>
      <c r="AN40" s="40">
        <f t="shared" si="28"/>
        <v>-1.0893412611820332</v>
      </c>
      <c r="AO40" s="40">
        <f t="shared" si="29"/>
        <v>1.9403237095686856</v>
      </c>
      <c r="AP40" s="40">
        <f t="shared" si="30"/>
        <v>-0.2862045650974652</v>
      </c>
      <c r="AQ40" s="40">
        <f t="shared" si="31"/>
        <v>3.876541334659837</v>
      </c>
      <c r="AR40" s="40">
        <f t="shared" si="32"/>
        <v>3.887092200142531</v>
      </c>
      <c r="AS40" s="40">
        <f t="shared" si="33"/>
        <v>1.6002002734196472</v>
      </c>
      <c r="AT40" s="40">
        <f t="shared" si="34"/>
        <v>1.1019393867485583</v>
      </c>
      <c r="AU40" s="40">
        <f t="shared" si="35"/>
        <v>1.9429131033373837</v>
      </c>
      <c r="AV40" s="73">
        <f t="shared" si="69"/>
        <v>229.9738535366745</v>
      </c>
      <c r="AW40" s="73">
        <f t="shared" si="70"/>
        <v>0.20682850627898125</v>
      </c>
      <c r="AX40" s="73">
        <f t="shared" si="71"/>
        <v>-115.22042035915685</v>
      </c>
      <c r="AY40" s="73">
        <f t="shared" si="72"/>
        <v>-199.38289171063235</v>
      </c>
      <c r="AZ40" s="73">
        <f t="shared" si="73"/>
        <v>-115.38380863768974</v>
      </c>
      <c r="BA40" s="73">
        <f t="shared" si="74"/>
        <v>199.4071460917976</v>
      </c>
      <c r="BB40" s="73">
        <f t="shared" si="75"/>
        <v>229.97394654294828</v>
      </c>
      <c r="BC40" s="73">
        <f t="shared" si="76"/>
        <v>230.2808780047413</v>
      </c>
      <c r="BD40" s="73">
        <f t="shared" si="77"/>
        <v>230.3836652373916</v>
      </c>
      <c r="BE40" s="73">
        <f t="shared" si="36"/>
        <v>398.74195057296794</v>
      </c>
      <c r="BF40" s="73">
        <f t="shared" si="37"/>
        <v>398.7900712733369</v>
      </c>
      <c r="BG40" s="73">
        <f t="shared" si="38"/>
        <v>398.6887023088487</v>
      </c>
      <c r="BH40" s="73">
        <f t="shared" si="39"/>
        <v>0.4183600426211619</v>
      </c>
      <c r="BI40" s="73">
        <f t="shared" si="102"/>
        <v>0.2854548210544346</v>
      </c>
      <c r="BJ40" s="73">
        <f t="shared" si="103"/>
        <v>0.24094664372451013</v>
      </c>
      <c r="BK40" s="40">
        <f t="shared" si="78"/>
        <v>9.742785792574933</v>
      </c>
      <c r="BL40" s="40">
        <f t="shared" si="79"/>
        <v>9.742785792574933</v>
      </c>
      <c r="BM40" s="40">
        <f t="shared" si="80"/>
        <v>397.3144321823407</v>
      </c>
      <c r="BN40" s="40">
        <f t="shared" si="40"/>
        <v>0.6713919544148297</v>
      </c>
      <c r="BO40" s="40">
        <f t="shared" si="7"/>
        <v>3.8971143170299736</v>
      </c>
      <c r="BP40" s="40">
        <f t="shared" si="41"/>
        <v>398.9192910091938</v>
      </c>
      <c r="BQ40" s="40">
        <f t="shared" si="42"/>
        <v>0.2701772477015538</v>
      </c>
      <c r="BR40" s="40">
        <f t="shared" si="43"/>
        <v>399.1291468742172</v>
      </c>
      <c r="BS40" s="40">
        <f t="shared" si="81"/>
        <v>0.2177132814456968</v>
      </c>
      <c r="BT40" s="40">
        <f t="shared" si="44"/>
        <v>399.0796402989297</v>
      </c>
      <c r="BU40" s="40">
        <f t="shared" si="45"/>
        <v>0.23008992526757766</v>
      </c>
      <c r="BV40" s="75">
        <f t="shared" si="46"/>
        <v>0.11077624999999999</v>
      </c>
      <c r="BW40" s="75">
        <f t="shared" si="47"/>
        <v>0.0007456624999999999</v>
      </c>
      <c r="BX40" s="40">
        <f t="shared" si="8"/>
        <v>2.8520675111965357</v>
      </c>
      <c r="BY40" s="40">
        <f t="shared" si="48"/>
        <v>1.7091769113481827</v>
      </c>
      <c r="BZ40" s="61"/>
      <c r="CA40" s="73">
        <f t="shared" si="49"/>
        <v>0.25139258978518747</v>
      </c>
      <c r="CB40" s="84"/>
      <c r="CC40" s="73">
        <f t="shared" si="50"/>
        <v>0</v>
      </c>
      <c r="CD40" s="73">
        <f t="shared" si="91"/>
        <v>0</v>
      </c>
      <c r="CE40" s="73">
        <f t="shared" si="92"/>
        <v>0</v>
      </c>
      <c r="CF40" s="73">
        <f t="shared" si="93"/>
        <v>0</v>
      </c>
      <c r="CG40" s="73">
        <f t="shared" si="54"/>
        <v>0</v>
      </c>
      <c r="CH40" s="73">
        <f t="shared" si="55"/>
        <v>0</v>
      </c>
      <c r="CI40" s="73">
        <f t="shared" si="56"/>
        <v>0</v>
      </c>
      <c r="CJ40" s="76">
        <f t="shared" si="57"/>
        <v>0</v>
      </c>
      <c r="CK40" s="76">
        <f t="shared" si="82"/>
        <v>0</v>
      </c>
      <c r="CL40" s="76">
        <f t="shared" si="83"/>
        <v>20</v>
      </c>
      <c r="CM40" s="76">
        <f t="shared" si="84"/>
        <v>0</v>
      </c>
      <c r="CN40" s="40">
        <f t="shared" si="9"/>
        <v>8.768507213317442</v>
      </c>
      <c r="CO40" s="40">
        <f t="shared" si="94"/>
        <v>3.877463618516041</v>
      </c>
      <c r="CP40" s="40">
        <f t="shared" si="95"/>
        <v>1.9403237095686856</v>
      </c>
      <c r="CQ40" s="40">
        <f t="shared" si="96"/>
        <v>3.887092200142531</v>
      </c>
      <c r="CR40" s="40">
        <f t="shared" si="97"/>
        <v>3.8971143170299736</v>
      </c>
      <c r="CS40" s="40">
        <f t="shared" si="87"/>
        <v>1.9485571585149868</v>
      </c>
      <c r="CT40" s="40">
        <f t="shared" si="61"/>
        <v>3.8971143170299736</v>
      </c>
      <c r="CU40" s="40">
        <f t="shared" si="99"/>
        <v>3.8971143170299736</v>
      </c>
      <c r="CV40" s="40">
        <f t="shared" si="100"/>
        <v>1.9485571585149868</v>
      </c>
      <c r="CW40" s="40">
        <f t="shared" si="101"/>
        <v>3.8971143170299736</v>
      </c>
      <c r="CX40" s="40">
        <f t="shared" si="88"/>
        <v>3.507402885326976</v>
      </c>
      <c r="CY40" s="40">
        <f t="shared" si="89"/>
        <v>1.753701442663488</v>
      </c>
      <c r="CZ40" s="40">
        <f t="shared" si="98"/>
        <v>3.507402885326976</v>
      </c>
      <c r="DA40" s="40">
        <f t="shared" si="66"/>
        <v>1.392554774815388</v>
      </c>
    </row>
    <row r="41" spans="1:105" ht="12.75">
      <c r="A41" s="61" t="s">
        <v>29</v>
      </c>
      <c r="B41" s="61" t="s">
        <v>30</v>
      </c>
      <c r="C41" s="61">
        <v>10</v>
      </c>
      <c r="D41" s="61" t="s">
        <v>305</v>
      </c>
      <c r="E41" s="61">
        <v>250</v>
      </c>
      <c r="F41" s="61">
        <v>0.9</v>
      </c>
      <c r="G41" s="61" t="s">
        <v>319</v>
      </c>
      <c r="H41" s="120"/>
      <c r="I41" s="61">
        <v>1</v>
      </c>
      <c r="J41" s="61" t="s">
        <v>285</v>
      </c>
      <c r="K41" s="61">
        <v>10</v>
      </c>
      <c r="L41" s="61">
        <v>65</v>
      </c>
      <c r="M41" s="61" t="s">
        <v>285</v>
      </c>
      <c r="N41" s="61">
        <v>10</v>
      </c>
      <c r="O41" s="61">
        <v>65</v>
      </c>
      <c r="P41" s="61" t="s">
        <v>136</v>
      </c>
      <c r="Q41" s="120"/>
      <c r="R41" s="120"/>
      <c r="S41" s="120">
        <v>50</v>
      </c>
      <c r="T41" s="120">
        <v>0.9</v>
      </c>
      <c r="U41" s="72">
        <f t="shared" si="90"/>
        <v>0.018359999999999998</v>
      </c>
      <c r="V41" s="72">
        <f t="shared" si="14"/>
        <v>0.018359999999999998</v>
      </c>
      <c r="W41" s="73">
        <f t="shared" si="15"/>
        <v>1.9485571585149868</v>
      </c>
      <c r="X41" s="72">
        <f t="shared" si="16"/>
        <v>0.02052309125448923</v>
      </c>
      <c r="Y41" s="72">
        <f t="shared" si="17"/>
        <v>0.020523094816731594</v>
      </c>
      <c r="Z41" s="72">
        <f t="shared" si="18"/>
        <v>0.020523108026309</v>
      </c>
      <c r="AA41" s="72">
        <f t="shared" si="19"/>
        <v>0.020519136043217878</v>
      </c>
      <c r="AB41" s="72">
        <f t="shared" si="20"/>
        <v>0</v>
      </c>
      <c r="AC41" s="72">
        <f t="shared" si="21"/>
        <v>0</v>
      </c>
      <c r="AD41" s="74">
        <f t="shared" si="22"/>
        <v>52.323990673495075</v>
      </c>
      <c r="AE41" s="73">
        <f t="shared" si="67"/>
        <v>1.943558200153113</v>
      </c>
      <c r="AF41" s="40">
        <f t="shared" si="68"/>
        <v>1.0019553199242353</v>
      </c>
      <c r="AG41" s="40">
        <f t="shared" si="104"/>
        <v>0.43385938025567605</v>
      </c>
      <c r="AH41" s="40">
        <f t="shared" si="24"/>
        <v>1.3734088850368948</v>
      </c>
      <c r="AI41" s="260">
        <f t="shared" si="25"/>
        <v>0.3433522212592237</v>
      </c>
      <c r="AJ41" s="40">
        <f t="shared" si="5"/>
        <v>1.7467463450656322</v>
      </c>
      <c r="AK41" s="40">
        <f t="shared" si="6"/>
        <v>-0.842820018360851</v>
      </c>
      <c r="AL41" s="261">
        <f t="shared" si="26"/>
        <v>1.9394505349067117</v>
      </c>
      <c r="AM41" s="40">
        <f t="shared" si="27"/>
        <v>-1.6056748501616525</v>
      </c>
      <c r="AN41" s="40">
        <f t="shared" si="28"/>
        <v>-1.0893412699480947</v>
      </c>
      <c r="AO41" s="40">
        <f t="shared" si="29"/>
        <v>1.9403237170260463</v>
      </c>
      <c r="AP41" s="40">
        <f t="shared" si="30"/>
        <v>-0.14293620798832446</v>
      </c>
      <c r="AQ41" s="40">
        <f t="shared" si="31"/>
        <v>1.9382950471030234</v>
      </c>
      <c r="AR41" s="40">
        <f t="shared" si="32"/>
        <v>1.9435581928972936</v>
      </c>
      <c r="AS41" s="40">
        <f t="shared" si="33"/>
        <v>-0.0018647130843447157</v>
      </c>
      <c r="AT41" s="40">
        <f t="shared" si="34"/>
        <v>0.006133758794077737</v>
      </c>
      <c r="AU41" s="40">
        <f t="shared" si="35"/>
        <v>0.00641094001148446</v>
      </c>
      <c r="AV41" s="73">
        <f t="shared" si="69"/>
        <v>229.93804316433776</v>
      </c>
      <c r="AW41" s="73">
        <f t="shared" si="70"/>
        <v>0.22399991899575933</v>
      </c>
      <c r="AX41" s="73">
        <f t="shared" si="71"/>
        <v>-115.18742867966068</v>
      </c>
      <c r="AY41" s="73">
        <f t="shared" si="72"/>
        <v>-199.3606609158926</v>
      </c>
      <c r="AZ41" s="73">
        <f t="shared" si="73"/>
        <v>-115.38083688015087</v>
      </c>
      <c r="BA41" s="73">
        <f t="shared" si="74"/>
        <v>199.36724039372788</v>
      </c>
      <c r="BB41" s="73">
        <f t="shared" si="75"/>
        <v>229.93815227188497</v>
      </c>
      <c r="BC41" s="73">
        <f t="shared" si="76"/>
        <v>230.24512339385916</v>
      </c>
      <c r="BD41" s="73">
        <f t="shared" si="77"/>
        <v>230.34763741218285</v>
      </c>
      <c r="BE41" s="73">
        <f t="shared" si="36"/>
        <v>398.6798567223079</v>
      </c>
      <c r="BF41" s="73">
        <f t="shared" si="37"/>
        <v>398.72794821721044</v>
      </c>
      <c r="BG41" s="73">
        <f t="shared" si="38"/>
        <v>398.6265911124808</v>
      </c>
      <c r="BH41" s="73">
        <f t="shared" si="39"/>
        <v>0.4338594166465481</v>
      </c>
      <c r="BI41" s="73">
        <f t="shared" si="102"/>
        <v>0.3009370217176197</v>
      </c>
      <c r="BJ41" s="73">
        <f t="shared" si="103"/>
        <v>0.2565471496614508</v>
      </c>
      <c r="BK41" s="40">
        <f t="shared" si="78"/>
        <v>5.84567147554496</v>
      </c>
      <c r="BL41" s="40">
        <f t="shared" si="79"/>
        <v>5.84567147554496</v>
      </c>
      <c r="BM41" s="40">
        <f t="shared" si="80"/>
        <v>397.1471266823407</v>
      </c>
      <c r="BN41" s="40">
        <f t="shared" si="40"/>
        <v>0.7132183294148291</v>
      </c>
      <c r="BO41" s="40">
        <f t="shared" si="7"/>
        <v>1.9485571585149868</v>
      </c>
      <c r="BP41" s="40">
        <f t="shared" si="41"/>
        <v>398.8635225091938</v>
      </c>
      <c r="BQ41" s="40">
        <f t="shared" si="42"/>
        <v>0.28411937270155363</v>
      </c>
      <c r="BR41" s="40">
        <f t="shared" si="43"/>
        <v>399.0733783742172</v>
      </c>
      <c r="BS41" s="40">
        <f t="shared" si="81"/>
        <v>0.2316554064456966</v>
      </c>
      <c r="BT41" s="40">
        <f t="shared" si="44"/>
        <v>399.0238717989297</v>
      </c>
      <c r="BU41" s="40">
        <f t="shared" si="45"/>
        <v>0.24403205026757746</v>
      </c>
      <c r="BV41" s="75">
        <f t="shared" si="46"/>
        <v>0.12913624999999998</v>
      </c>
      <c r="BW41" s="75">
        <f t="shared" si="47"/>
        <v>0.0007456624999999999</v>
      </c>
      <c r="BX41" s="40">
        <f t="shared" si="8"/>
        <v>1.9992262510003849</v>
      </c>
      <c r="BY41" s="40">
        <f t="shared" si="48"/>
        <v>1.7091769113481827</v>
      </c>
      <c r="BZ41" s="61"/>
      <c r="CA41" s="73">
        <f t="shared" si="49"/>
        <v>0.5116207894988123</v>
      </c>
      <c r="CB41" s="84"/>
      <c r="CC41" s="73">
        <f t="shared" si="50"/>
        <v>0</v>
      </c>
      <c r="CD41" s="73">
        <f t="shared" si="91"/>
        <v>0</v>
      </c>
      <c r="CE41" s="73">
        <f t="shared" si="92"/>
        <v>0</v>
      </c>
      <c r="CF41" s="73">
        <f t="shared" si="93"/>
        <v>1</v>
      </c>
      <c r="CG41" s="73">
        <f t="shared" si="54"/>
        <v>0</v>
      </c>
      <c r="CH41" s="73">
        <f t="shared" si="55"/>
        <v>0</v>
      </c>
      <c r="CI41" s="73">
        <f t="shared" si="56"/>
        <v>0</v>
      </c>
      <c r="CJ41" s="76">
        <f t="shared" si="57"/>
        <v>0</v>
      </c>
      <c r="CK41" s="76">
        <f t="shared" si="82"/>
        <v>0</v>
      </c>
      <c r="CL41" s="76">
        <f t="shared" si="83"/>
        <v>10</v>
      </c>
      <c r="CM41" s="76">
        <f t="shared" si="84"/>
        <v>0</v>
      </c>
      <c r="CN41" s="40">
        <f t="shared" si="9"/>
        <v>5.261104327990465</v>
      </c>
      <c r="CO41" s="40">
        <f t="shared" si="94"/>
        <v>1.9394505349067117</v>
      </c>
      <c r="CP41" s="40">
        <f t="shared" si="95"/>
        <v>1.9403237170260463</v>
      </c>
      <c r="CQ41" s="40">
        <f t="shared" si="96"/>
        <v>1.9435581928972936</v>
      </c>
      <c r="CR41" s="40">
        <f t="shared" si="97"/>
        <v>1.9485571585149868</v>
      </c>
      <c r="CS41" s="40">
        <f t="shared" si="87"/>
        <v>1.9485571585149868</v>
      </c>
      <c r="CT41" s="40">
        <f t="shared" si="61"/>
        <v>1.9485571585149868</v>
      </c>
      <c r="CU41" s="40">
        <f t="shared" si="99"/>
        <v>1.9485571585149868</v>
      </c>
      <c r="CV41" s="40">
        <f t="shared" si="100"/>
        <v>1.9485571585149868</v>
      </c>
      <c r="CW41" s="40">
        <f t="shared" si="101"/>
        <v>1.9485571585149868</v>
      </c>
      <c r="CX41" s="40">
        <f t="shared" si="88"/>
        <v>1.753701442663488</v>
      </c>
      <c r="CY41" s="40">
        <f t="shared" si="89"/>
        <v>1.753701442663488</v>
      </c>
      <c r="CZ41" s="40">
        <f t="shared" si="98"/>
        <v>1.753701442663488</v>
      </c>
      <c r="DA41" s="40">
        <f t="shared" si="66"/>
        <v>0.2319878249150577</v>
      </c>
    </row>
    <row r="42" spans="1:105" ht="12.75">
      <c r="A42" s="61" t="s">
        <v>30</v>
      </c>
      <c r="B42" s="61" t="s">
        <v>31</v>
      </c>
      <c r="C42" s="61">
        <v>20</v>
      </c>
      <c r="D42" s="61" t="s">
        <v>303</v>
      </c>
      <c r="E42" s="61">
        <v>250</v>
      </c>
      <c r="F42" s="61">
        <v>0.9</v>
      </c>
      <c r="G42" s="61" t="s">
        <v>319</v>
      </c>
      <c r="H42" s="120"/>
      <c r="I42" s="61">
        <v>1</v>
      </c>
      <c r="J42" s="61" t="s">
        <v>285</v>
      </c>
      <c r="K42" s="61">
        <v>10</v>
      </c>
      <c r="L42" s="61">
        <v>65</v>
      </c>
      <c r="M42" s="61" t="s">
        <v>285</v>
      </c>
      <c r="N42" s="61">
        <v>10</v>
      </c>
      <c r="O42" s="61">
        <v>65</v>
      </c>
      <c r="P42" s="61" t="s">
        <v>136</v>
      </c>
      <c r="Q42" s="120"/>
      <c r="R42" s="120"/>
      <c r="S42" s="120">
        <v>50</v>
      </c>
      <c r="T42" s="120">
        <v>0.9</v>
      </c>
      <c r="U42" s="72">
        <f t="shared" si="90"/>
        <v>0.036719999999999996</v>
      </c>
      <c r="V42" s="72">
        <f t="shared" si="14"/>
        <v>0.036719999999999996</v>
      </c>
      <c r="W42" s="73">
        <f t="shared" si="15"/>
        <v>1.9485571585149868</v>
      </c>
      <c r="X42" s="72">
        <f t="shared" si="16"/>
        <v>0.04104618250895989</v>
      </c>
      <c r="Y42" s="72">
        <f t="shared" si="17"/>
        <v>0.04104618963352405</v>
      </c>
      <c r="Z42" s="72">
        <f t="shared" si="18"/>
        <v>0.041038271999999994</v>
      </c>
      <c r="AA42" s="72">
        <f t="shared" si="19"/>
        <v>0.041046165011758264</v>
      </c>
      <c r="AB42" s="72">
        <f t="shared" si="20"/>
        <v>0</v>
      </c>
      <c r="AC42" s="72">
        <f t="shared" si="21"/>
        <v>0</v>
      </c>
      <c r="AD42" s="74">
        <f t="shared" si="22"/>
        <v>52.323990673495075</v>
      </c>
      <c r="AE42" s="73">
        <f t="shared" si="67"/>
        <v>1.9403237170260463</v>
      </c>
      <c r="AF42" s="40">
        <f t="shared" si="68"/>
        <v>1.0793037770590956</v>
      </c>
      <c r="AG42" s="40">
        <f t="shared" si="104"/>
        <v>0.4673522446668365</v>
      </c>
      <c r="AH42" s="40">
        <f t="shared" si="24"/>
        <v>1.452800661639003</v>
      </c>
      <c r="AI42" s="260">
        <f t="shared" si="25"/>
        <v>0.36320016540975075</v>
      </c>
      <c r="AJ42" s="40">
        <f t="shared" si="5"/>
        <v>1.7467463389663491</v>
      </c>
      <c r="AK42" s="40">
        <f t="shared" si="6"/>
        <v>-0.8428200263748076</v>
      </c>
      <c r="AL42" s="261">
        <f t="shared" si="26"/>
        <v>1.9394505328960507</v>
      </c>
      <c r="AM42" s="40">
        <f t="shared" si="27"/>
        <v>-1.6056748584166833</v>
      </c>
      <c r="AN42" s="40">
        <f t="shared" si="28"/>
        <v>-1.0893412818317967</v>
      </c>
      <c r="AO42" s="40">
        <f t="shared" si="29"/>
        <v>1.9403237305291037</v>
      </c>
      <c r="AP42" s="40">
        <f t="shared" si="30"/>
        <v>0</v>
      </c>
      <c r="AQ42" s="40">
        <f t="shared" si="31"/>
        <v>0</v>
      </c>
      <c r="AR42" s="40">
        <f t="shared" si="32"/>
        <v>0</v>
      </c>
      <c r="AS42" s="40">
        <f t="shared" si="33"/>
        <v>0.14107148054966578</v>
      </c>
      <c r="AT42" s="40">
        <f t="shared" si="34"/>
        <v>-1.9321613082066043</v>
      </c>
      <c r="AU42" s="40">
        <f t="shared" si="35"/>
        <v>1.9373044374994681</v>
      </c>
      <c r="AV42" s="73">
        <f t="shared" si="69"/>
        <v>229.8605554520426</v>
      </c>
      <c r="AW42" s="73">
        <f t="shared" si="70"/>
        <v>0.33790227550652907</v>
      </c>
      <c r="AX42" s="73">
        <f t="shared" si="71"/>
        <v>-115.12731228820142</v>
      </c>
      <c r="AY42" s="73">
        <f t="shared" si="72"/>
        <v>-199.2366397951769</v>
      </c>
      <c r="AZ42" s="73">
        <f t="shared" si="73"/>
        <v>-115.38662732341996</v>
      </c>
      <c r="BA42" s="73">
        <f t="shared" si="74"/>
        <v>199.44654820561388</v>
      </c>
      <c r="BB42" s="73">
        <f t="shared" si="75"/>
        <v>229.8608038154164</v>
      </c>
      <c r="BC42" s="73">
        <f t="shared" si="76"/>
        <v>230.10766321784706</v>
      </c>
      <c r="BD42" s="73">
        <f t="shared" si="77"/>
        <v>230.41918183217314</v>
      </c>
      <c r="BE42" s="73">
        <f t="shared" si="36"/>
        <v>398.55567582294333</v>
      </c>
      <c r="BF42" s="73">
        <f t="shared" si="37"/>
        <v>398.68327233376795</v>
      </c>
      <c r="BG42" s="73">
        <f t="shared" si="38"/>
        <v>398.5471993359312</v>
      </c>
      <c r="BH42" s="73">
        <f t="shared" si="39"/>
        <v>0.4673522807691964</v>
      </c>
      <c r="BI42" s="73">
        <f t="shared" si="102"/>
        <v>0.36045902393519835</v>
      </c>
      <c r="BJ42" s="73">
        <f t="shared" si="103"/>
        <v>0.22556750705614406</v>
      </c>
      <c r="BK42" s="40">
        <f t="shared" si="78"/>
        <v>3.8971143170299736</v>
      </c>
      <c r="BL42" s="40">
        <f t="shared" si="79"/>
        <v>3.8971143170299736</v>
      </c>
      <c r="BM42" s="40">
        <f t="shared" si="80"/>
        <v>396.9240526823407</v>
      </c>
      <c r="BN42" s="40">
        <f t="shared" si="40"/>
        <v>0.7689868294148283</v>
      </c>
      <c r="BO42" s="40">
        <f t="shared" si="7"/>
        <v>1.9485571585149868</v>
      </c>
      <c r="BP42" s="40">
        <f t="shared" si="41"/>
        <v>398.7519855091938</v>
      </c>
      <c r="BQ42" s="40">
        <f t="shared" si="42"/>
        <v>0.31200362270155324</v>
      </c>
      <c r="BR42" s="40">
        <f t="shared" si="43"/>
        <v>398.9618413742172</v>
      </c>
      <c r="BS42" s="40">
        <f t="shared" si="81"/>
        <v>0.2595396564456962</v>
      </c>
      <c r="BT42" s="40">
        <f t="shared" si="44"/>
        <v>399.0238717989297</v>
      </c>
      <c r="BU42" s="40">
        <f t="shared" si="45"/>
        <v>0.24403205026757746</v>
      </c>
      <c r="BV42" s="75">
        <f t="shared" si="46"/>
        <v>0.16585624999999998</v>
      </c>
      <c r="BW42" s="75">
        <f t="shared" si="47"/>
        <v>0.0007456624999999999</v>
      </c>
      <c r="BX42" s="40">
        <f t="shared" si="8"/>
        <v>1.733481274490422</v>
      </c>
      <c r="BY42" s="40">
        <f t="shared" si="48"/>
        <v>1.7091769113481827</v>
      </c>
      <c r="BZ42" s="61"/>
      <c r="CA42" s="73">
        <f t="shared" si="49"/>
        <v>0.6805088312766246</v>
      </c>
      <c r="CB42" s="84"/>
      <c r="CC42" s="73">
        <f t="shared" si="50"/>
        <v>0</v>
      </c>
      <c r="CD42" s="73">
        <f t="shared" si="91"/>
        <v>1</v>
      </c>
      <c r="CE42" s="73">
        <f t="shared" si="92"/>
        <v>0</v>
      </c>
      <c r="CF42" s="73">
        <f t="shared" si="93"/>
        <v>0</v>
      </c>
      <c r="CG42" s="73">
        <f t="shared" si="54"/>
        <v>0</v>
      </c>
      <c r="CH42" s="73">
        <f t="shared" si="55"/>
        <v>0</v>
      </c>
      <c r="CI42" s="73">
        <f t="shared" si="56"/>
        <v>0</v>
      </c>
      <c r="CJ42" s="76">
        <f t="shared" si="57"/>
        <v>0</v>
      </c>
      <c r="CK42" s="76">
        <f t="shared" si="82"/>
        <v>0</v>
      </c>
      <c r="CL42" s="76">
        <f t="shared" si="83"/>
        <v>20</v>
      </c>
      <c r="CM42" s="76">
        <f t="shared" si="84"/>
        <v>0</v>
      </c>
      <c r="CN42" s="40">
        <f t="shared" si="9"/>
        <v>3.507402885326976</v>
      </c>
      <c r="CO42" s="40">
        <f t="shared" si="94"/>
        <v>1.9394505328960507</v>
      </c>
      <c r="CP42" s="40">
        <f t="shared" si="95"/>
        <v>1.9403237305291037</v>
      </c>
      <c r="CQ42" s="40">
        <f t="shared" si="96"/>
        <v>0</v>
      </c>
      <c r="CR42" s="40">
        <f t="shared" si="97"/>
        <v>1.9485571585149868</v>
      </c>
      <c r="CS42" s="40">
        <f t="shared" si="87"/>
        <v>1.9485571585149868</v>
      </c>
      <c r="CT42" s="40">
        <f t="shared" si="61"/>
        <v>0</v>
      </c>
      <c r="CU42" s="40">
        <f t="shared" si="99"/>
        <v>1.9485571585149868</v>
      </c>
      <c r="CV42" s="40">
        <f t="shared" si="100"/>
        <v>1.9485571585149868</v>
      </c>
      <c r="CW42" s="40">
        <f t="shared" si="101"/>
        <v>0</v>
      </c>
      <c r="CX42" s="40">
        <f t="shared" si="88"/>
        <v>1.753701442663488</v>
      </c>
      <c r="CY42" s="40">
        <f t="shared" si="89"/>
        <v>1.753701442663488</v>
      </c>
      <c r="CZ42" s="40">
        <f t="shared" si="98"/>
        <v>0</v>
      </c>
      <c r="DA42" s="40">
        <f t="shared" si="66"/>
        <v>0.3089269178748809</v>
      </c>
    </row>
    <row r="43" spans="1:105" ht="12.75">
      <c r="A43" s="61" t="s">
        <v>31</v>
      </c>
      <c r="B43" s="61" t="s">
        <v>32</v>
      </c>
      <c r="C43" s="61">
        <v>20</v>
      </c>
      <c r="D43" s="61" t="s">
        <v>304</v>
      </c>
      <c r="E43" s="61">
        <v>250</v>
      </c>
      <c r="F43" s="61">
        <v>0.9</v>
      </c>
      <c r="G43" s="61" t="s">
        <v>319</v>
      </c>
      <c r="H43" s="120"/>
      <c r="I43" s="61">
        <v>1</v>
      </c>
      <c r="J43" s="61" t="s">
        <v>285</v>
      </c>
      <c r="K43" s="61">
        <v>10</v>
      </c>
      <c r="L43" s="61">
        <v>65</v>
      </c>
      <c r="M43" s="61" t="s">
        <v>285</v>
      </c>
      <c r="N43" s="61">
        <v>10</v>
      </c>
      <c r="O43" s="61">
        <v>65</v>
      </c>
      <c r="P43" s="61" t="s">
        <v>136</v>
      </c>
      <c r="Q43" s="120"/>
      <c r="R43" s="120"/>
      <c r="S43" s="120">
        <v>50</v>
      </c>
      <c r="T43" s="120">
        <v>0.9</v>
      </c>
      <c r="U43" s="72">
        <f t="shared" si="90"/>
        <v>0.036719999999999996</v>
      </c>
      <c r="V43" s="72">
        <f t="shared" si="14"/>
        <v>0.036719999999999996</v>
      </c>
      <c r="W43" s="73">
        <f t="shared" si="15"/>
        <v>1.9485571585149868</v>
      </c>
      <c r="X43" s="72">
        <f t="shared" si="16"/>
        <v>0.041038271999999994</v>
      </c>
      <c r="Y43" s="72">
        <f t="shared" si="17"/>
        <v>0.04104618963363425</v>
      </c>
      <c r="Z43" s="72">
        <f t="shared" si="18"/>
        <v>0.041038271999999994</v>
      </c>
      <c r="AA43" s="72">
        <f t="shared" si="19"/>
        <v>0.04104618963363425</v>
      </c>
      <c r="AB43" s="72">
        <f t="shared" si="20"/>
        <v>0</v>
      </c>
      <c r="AC43" s="72">
        <f t="shared" si="21"/>
        <v>0</v>
      </c>
      <c r="AD43" s="74">
        <f t="shared" si="22"/>
        <v>52.323990673495075</v>
      </c>
      <c r="AE43" s="73">
        <f t="shared" si="67"/>
        <v>1.9403237305291037</v>
      </c>
      <c r="AF43" s="40">
        <f t="shared" si="68"/>
        <v>1.0133269547545183</v>
      </c>
      <c r="AG43" s="40">
        <f t="shared" si="104"/>
        <v>0.4387834425784686</v>
      </c>
      <c r="AH43" s="40">
        <f t="shared" si="24"/>
        <v>1.5237627489451029</v>
      </c>
      <c r="AI43" s="260">
        <f t="shared" si="25"/>
        <v>0.3809406872362757</v>
      </c>
      <c r="AJ43" s="40">
        <f t="shared" si="5"/>
        <v>0</v>
      </c>
      <c r="AK43" s="40">
        <f t="shared" si="6"/>
        <v>0</v>
      </c>
      <c r="AL43" s="261">
        <f t="shared" si="26"/>
        <v>0</v>
      </c>
      <c r="AM43" s="40">
        <f t="shared" si="27"/>
        <v>-1.605674864884411</v>
      </c>
      <c r="AN43" s="40">
        <f t="shared" si="28"/>
        <v>-1.0893412897962298</v>
      </c>
      <c r="AO43" s="40">
        <f t="shared" si="29"/>
        <v>1.9403237403527498</v>
      </c>
      <c r="AP43" s="40">
        <f t="shared" si="30"/>
        <v>0</v>
      </c>
      <c r="AQ43" s="40">
        <f t="shared" si="31"/>
        <v>0</v>
      </c>
      <c r="AR43" s="40">
        <f t="shared" si="32"/>
        <v>0</v>
      </c>
      <c r="AS43" s="40">
        <f t="shared" si="33"/>
        <v>-1.605674864884411</v>
      </c>
      <c r="AT43" s="40">
        <f t="shared" si="34"/>
        <v>-1.0893412897962298</v>
      </c>
      <c r="AU43" s="40">
        <f t="shared" si="35"/>
        <v>1.9403237403527498</v>
      </c>
      <c r="AV43" s="73">
        <f t="shared" si="69"/>
        <v>229.9264622870366</v>
      </c>
      <c r="AW43" s="73">
        <f t="shared" si="70"/>
        <v>0.38261558466325285</v>
      </c>
      <c r="AX43" s="73">
        <f t="shared" si="71"/>
        <v>-114.9954986182134</v>
      </c>
      <c r="AY43" s="73">
        <f t="shared" si="72"/>
        <v>-199.14721317686346</v>
      </c>
      <c r="AZ43" s="73">
        <f t="shared" si="73"/>
        <v>-115.32072048842595</v>
      </c>
      <c r="BA43" s="73">
        <f t="shared" si="74"/>
        <v>199.4912615147706</v>
      </c>
      <c r="BB43" s="73">
        <f t="shared" si="75"/>
        <v>229.9267806379189</v>
      </c>
      <c r="BC43" s="73">
        <f t="shared" si="76"/>
        <v>229.96429552989878</v>
      </c>
      <c r="BD43" s="73">
        <f t="shared" si="77"/>
        <v>230.42489447697326</v>
      </c>
      <c r="BE43" s="73">
        <f t="shared" si="36"/>
        <v>398.47623728439186</v>
      </c>
      <c r="BF43" s="73">
        <f t="shared" si="37"/>
        <v>398.6386073547536</v>
      </c>
      <c r="BG43" s="73">
        <f t="shared" si="38"/>
        <v>398.5471993359312</v>
      </c>
      <c r="BH43" s="73">
        <f t="shared" si="39"/>
        <v>0.43878347859512284</v>
      </c>
      <c r="BI43" s="73">
        <f t="shared" si="102"/>
        <v>0.4225390538577256</v>
      </c>
      <c r="BJ43" s="73">
        <f t="shared" si="103"/>
        <v>0.22309385929629055</v>
      </c>
      <c r="BK43" s="40">
        <f t="shared" si="78"/>
        <v>1.9485571585149868</v>
      </c>
      <c r="BL43" s="40">
        <f t="shared" si="79"/>
        <v>1.9485571585149868</v>
      </c>
      <c r="BM43" s="40">
        <f t="shared" si="80"/>
        <v>396.8125156823407</v>
      </c>
      <c r="BN43" s="40">
        <f t="shared" si="40"/>
        <v>0.7968710794148279</v>
      </c>
      <c r="BO43" s="40">
        <f t="shared" si="7"/>
        <v>1.9485571585149868</v>
      </c>
      <c r="BP43" s="40">
        <f t="shared" si="41"/>
        <v>398.7519855091938</v>
      </c>
      <c r="BQ43" s="40">
        <f t="shared" si="42"/>
        <v>0.31200362270155324</v>
      </c>
      <c r="BR43" s="40">
        <f t="shared" si="43"/>
        <v>398.8503043742172</v>
      </c>
      <c r="BS43" s="40">
        <f t="shared" si="81"/>
        <v>0.2874239064456958</v>
      </c>
      <c r="BT43" s="40">
        <f t="shared" si="44"/>
        <v>399.0238717989297</v>
      </c>
      <c r="BU43" s="40">
        <f t="shared" si="45"/>
        <v>0.24403205026757746</v>
      </c>
      <c r="BV43" s="75">
        <f t="shared" si="46"/>
        <v>0.20257624999999999</v>
      </c>
      <c r="BW43" s="75">
        <f t="shared" si="47"/>
        <v>0.0007456624999999999</v>
      </c>
      <c r="BX43" s="40">
        <f t="shared" si="8"/>
        <v>1.3660414896785829</v>
      </c>
      <c r="BY43" s="40">
        <f t="shared" si="48"/>
        <v>1.7091769113481827</v>
      </c>
      <c r="BZ43" s="61"/>
      <c r="CA43" s="73">
        <f t="shared" si="49"/>
        <v>1.0958327986742498</v>
      </c>
      <c r="CB43" s="84"/>
      <c r="CC43" s="73">
        <f t="shared" si="50"/>
        <v>0</v>
      </c>
      <c r="CD43" s="73">
        <f t="shared" si="91"/>
        <v>0</v>
      </c>
      <c r="CE43" s="73">
        <f t="shared" si="92"/>
        <v>1</v>
      </c>
      <c r="CF43" s="73">
        <f t="shared" si="93"/>
        <v>0</v>
      </c>
      <c r="CG43" s="73">
        <f t="shared" si="54"/>
        <v>0</v>
      </c>
      <c r="CH43" s="73">
        <f t="shared" si="55"/>
        <v>0</v>
      </c>
      <c r="CI43" s="73">
        <f t="shared" si="56"/>
        <v>0</v>
      </c>
      <c r="CJ43" s="76">
        <f t="shared" si="57"/>
        <v>0</v>
      </c>
      <c r="CK43" s="76">
        <f t="shared" si="82"/>
        <v>0</v>
      </c>
      <c r="CL43" s="76">
        <f t="shared" si="83"/>
        <v>20</v>
      </c>
      <c r="CM43" s="76">
        <f t="shared" si="84"/>
        <v>0</v>
      </c>
      <c r="CN43" s="40">
        <f t="shared" si="9"/>
        <v>1.753701442663488</v>
      </c>
      <c r="CO43" s="40">
        <f t="shared" si="94"/>
        <v>0</v>
      </c>
      <c r="CP43" s="40">
        <f t="shared" si="95"/>
        <v>1.9403237403527498</v>
      </c>
      <c r="CQ43" s="40">
        <f t="shared" si="96"/>
        <v>0</v>
      </c>
      <c r="CR43" s="40">
        <f t="shared" si="97"/>
        <v>0</v>
      </c>
      <c r="CS43" s="40">
        <f t="shared" si="87"/>
        <v>1.9485571585149868</v>
      </c>
      <c r="CT43" s="40">
        <f t="shared" si="61"/>
        <v>0</v>
      </c>
      <c r="CU43" s="40">
        <f t="shared" si="99"/>
        <v>0</v>
      </c>
      <c r="CV43" s="40">
        <f t="shared" si="100"/>
        <v>1.9485571585149868</v>
      </c>
      <c r="CW43" s="40">
        <f t="shared" si="101"/>
        <v>0</v>
      </c>
      <c r="CX43" s="40">
        <f t="shared" si="88"/>
        <v>0</v>
      </c>
      <c r="CY43" s="40">
        <f t="shared" si="89"/>
        <v>1.753701442663488</v>
      </c>
      <c r="CZ43" s="40">
        <f t="shared" si="98"/>
        <v>0</v>
      </c>
      <c r="DA43" s="40">
        <f t="shared" si="66"/>
        <v>0.15453300224180216</v>
      </c>
    </row>
    <row r="44" spans="1:105" ht="12.75">
      <c r="A44" s="61" t="s">
        <v>29</v>
      </c>
      <c r="B44" s="61" t="s">
        <v>33</v>
      </c>
      <c r="C44" s="61">
        <v>10</v>
      </c>
      <c r="D44" s="61" t="s">
        <v>305</v>
      </c>
      <c r="E44" s="61">
        <v>250</v>
      </c>
      <c r="F44" s="61">
        <v>0.9</v>
      </c>
      <c r="G44" s="61" t="s">
        <v>319</v>
      </c>
      <c r="H44" s="120"/>
      <c r="I44" s="61">
        <v>1</v>
      </c>
      <c r="J44" s="61" t="s">
        <v>285</v>
      </c>
      <c r="K44" s="61">
        <v>10</v>
      </c>
      <c r="L44" s="61">
        <v>65</v>
      </c>
      <c r="M44" s="61" t="s">
        <v>285</v>
      </c>
      <c r="N44" s="61">
        <v>10</v>
      </c>
      <c r="O44" s="61">
        <v>65</v>
      </c>
      <c r="P44" s="61" t="s">
        <v>136</v>
      </c>
      <c r="Q44" s="120"/>
      <c r="R44" s="120"/>
      <c r="S44" s="120">
        <v>50</v>
      </c>
      <c r="T44" s="120">
        <v>0.9</v>
      </c>
      <c r="U44" s="72">
        <f t="shared" si="90"/>
        <v>0.018359999999999998</v>
      </c>
      <c r="V44" s="72">
        <f t="shared" si="14"/>
        <v>0.018359999999999998</v>
      </c>
      <c r="W44" s="73">
        <f t="shared" si="15"/>
        <v>1.9485571585149868</v>
      </c>
      <c r="X44" s="72">
        <f t="shared" si="16"/>
        <v>0.0205230853936964</v>
      </c>
      <c r="Y44" s="72">
        <f t="shared" si="17"/>
        <v>0.020519135999999997</v>
      </c>
      <c r="Z44" s="72">
        <f t="shared" si="18"/>
        <v>0.0205231079274534</v>
      </c>
      <c r="AA44" s="72">
        <f t="shared" si="19"/>
        <v>0.020523097493875417</v>
      </c>
      <c r="AB44" s="72">
        <f t="shared" si="20"/>
        <v>0</v>
      </c>
      <c r="AC44" s="72">
        <f t="shared" si="21"/>
        <v>0</v>
      </c>
      <c r="AD44" s="74">
        <f t="shared" si="22"/>
        <v>52.323990673495075</v>
      </c>
      <c r="AE44" s="73">
        <f t="shared" si="67"/>
        <v>1.9435340144121829</v>
      </c>
      <c r="AF44" s="40">
        <f t="shared" si="68"/>
        <v>1.0348646002410078</v>
      </c>
      <c r="AG44" s="40">
        <f t="shared" si="104"/>
        <v>0.44810951664297016</v>
      </c>
      <c r="AH44" s="40">
        <f t="shared" si="24"/>
        <v>1.3733852682348697</v>
      </c>
      <c r="AI44" s="260">
        <f t="shared" si="25"/>
        <v>0.34334631705871743</v>
      </c>
      <c r="AJ44" s="40">
        <f t="shared" si="5"/>
        <v>1.7453333237937612</v>
      </c>
      <c r="AK44" s="40">
        <f t="shared" si="6"/>
        <v>-0.8424406926459254</v>
      </c>
      <c r="AL44" s="261">
        <f t="shared" si="26"/>
        <v>1.938013088647939</v>
      </c>
      <c r="AM44" s="40">
        <f t="shared" si="27"/>
        <v>0</v>
      </c>
      <c r="AN44" s="40">
        <f t="shared" si="28"/>
        <v>0</v>
      </c>
      <c r="AO44" s="40">
        <f t="shared" si="29"/>
        <v>0</v>
      </c>
      <c r="AP44" s="40">
        <f t="shared" si="30"/>
        <v>-0.1432683693669635</v>
      </c>
      <c r="AQ44" s="40">
        <f t="shared" si="31"/>
        <v>1.9382462721017815</v>
      </c>
      <c r="AR44" s="40">
        <f t="shared" si="32"/>
        <v>1.9435340071574567</v>
      </c>
      <c r="AS44" s="40">
        <f t="shared" si="33"/>
        <v>1.6020649544267977</v>
      </c>
      <c r="AT44" s="40">
        <f t="shared" si="34"/>
        <v>1.095805579455856</v>
      </c>
      <c r="AU44" s="40">
        <f t="shared" si="35"/>
        <v>1.9409796459955786</v>
      </c>
      <c r="AV44" s="73">
        <f t="shared" si="69"/>
        <v>229.9051545765786</v>
      </c>
      <c r="AW44" s="73">
        <f t="shared" si="70"/>
        <v>0.20162866381177313</v>
      </c>
      <c r="AX44" s="73">
        <f t="shared" si="71"/>
        <v>-115.25329969440807</v>
      </c>
      <c r="AY44" s="73">
        <f t="shared" si="72"/>
        <v>-199.40538103537386</v>
      </c>
      <c r="AZ44" s="73">
        <f t="shared" si="73"/>
        <v>-115.41374766073386</v>
      </c>
      <c r="BA44" s="73">
        <f t="shared" si="74"/>
        <v>199.34487792962378</v>
      </c>
      <c r="BB44" s="73">
        <f t="shared" si="75"/>
        <v>229.90524299153896</v>
      </c>
      <c r="BC44" s="73">
        <f t="shared" si="76"/>
        <v>230.31680155019453</v>
      </c>
      <c r="BD44" s="73">
        <f t="shared" si="77"/>
        <v>230.34477095404654</v>
      </c>
      <c r="BE44" s="73">
        <f t="shared" si="36"/>
        <v>398.719596804305</v>
      </c>
      <c r="BF44" s="73">
        <f t="shared" si="37"/>
        <v>398.75029124528874</v>
      </c>
      <c r="BG44" s="73">
        <f t="shared" si="38"/>
        <v>398.62661472928266</v>
      </c>
      <c r="BH44" s="73">
        <f t="shared" si="39"/>
        <v>0.448109553046506</v>
      </c>
      <c r="BI44" s="73">
        <f t="shared" si="102"/>
        <v>0.2698994695761898</v>
      </c>
      <c r="BJ44" s="73">
        <f t="shared" si="103"/>
        <v>0.25778836244391545</v>
      </c>
      <c r="BK44" s="40">
        <f>IF(B44="","",I44*(W44+SUMIF(INICIO,$B44,I_tramo)))</f>
        <v>3.8971143170299736</v>
      </c>
      <c r="BL44" s="40">
        <f>IF(B44="","",BK44-CC44+1.25*CC44)</f>
        <v>3.8971143170299736</v>
      </c>
      <c r="BM44" s="40">
        <f>IF(B44="","",SUMIF(FINAL,$A44,U_FINAL)-SQRT(3)*U44*CN44)</f>
        <v>397.2028951823407</v>
      </c>
      <c r="BN44" s="40">
        <f>IF(B44="","",100*($D$5-BM44)/$D$5)</f>
        <v>0.6992762044148293</v>
      </c>
      <c r="BO44" s="40">
        <f>IF(B44="","",MAX(CR44:CT44)-CC44+1.25*CC44)</f>
        <v>1.9485571585149868</v>
      </c>
      <c r="BP44" s="40">
        <f>IF(B44="","",SUMIF(FINAL,$A44,U_FINAL_R)-SQRT(3)*U44*CX44)</f>
        <v>398.8635225091938</v>
      </c>
      <c r="BQ44" s="40">
        <f>IF(B44="","",100*($D$5-BP44)/$D$5)</f>
        <v>0.28411937270155363</v>
      </c>
      <c r="BR44" s="40">
        <f>IF(B44="","",SUMIF(FINAL,$A44,U_FINAL_S)-SQRT(3)*U44*CY44)</f>
        <v>399.1291468742172</v>
      </c>
      <c r="BS44" s="40">
        <f>IF(B44="","",100*($D$5-BR44)/$D$5)</f>
        <v>0.2177132814456968</v>
      </c>
      <c r="BT44" s="40">
        <f t="shared" si="44"/>
        <v>399.0238717989297</v>
      </c>
      <c r="BU44" s="40">
        <f t="shared" si="45"/>
        <v>0.24403205026757746</v>
      </c>
      <c r="BV44" s="75">
        <f t="shared" si="46"/>
        <v>0.12913624999999998</v>
      </c>
      <c r="BW44" s="75">
        <f t="shared" si="47"/>
        <v>0.0007456624999999999</v>
      </c>
      <c r="BX44" s="40">
        <f t="shared" si="8"/>
        <v>1.9992262510003849</v>
      </c>
      <c r="BY44" s="40">
        <f t="shared" si="48"/>
        <v>1.7091769113481827</v>
      </c>
      <c r="BZ44" s="61"/>
      <c r="CA44" s="73">
        <f t="shared" si="49"/>
        <v>0.5116207894988123</v>
      </c>
      <c r="CB44" s="84"/>
      <c r="CC44" s="73">
        <f t="shared" si="50"/>
        <v>0</v>
      </c>
      <c r="CD44" s="73">
        <f t="shared" si="91"/>
        <v>0</v>
      </c>
      <c r="CE44" s="73">
        <f t="shared" si="92"/>
        <v>0</v>
      </c>
      <c r="CF44" s="73">
        <f t="shared" si="93"/>
        <v>1</v>
      </c>
      <c r="CG44" s="73">
        <f t="shared" si="54"/>
        <v>0</v>
      </c>
      <c r="CH44" s="73">
        <f t="shared" si="55"/>
        <v>0</v>
      </c>
      <c r="CI44" s="73">
        <f t="shared" si="56"/>
        <v>0</v>
      </c>
      <c r="CJ44" s="76">
        <f t="shared" si="57"/>
        <v>0</v>
      </c>
      <c r="CK44" s="76">
        <f t="shared" si="82"/>
        <v>0</v>
      </c>
      <c r="CL44" s="76">
        <f t="shared" si="83"/>
        <v>10</v>
      </c>
      <c r="CM44" s="76">
        <f t="shared" si="84"/>
        <v>0</v>
      </c>
      <c r="CN44" s="40">
        <f t="shared" si="9"/>
        <v>3.507402885326976</v>
      </c>
      <c r="CO44" s="40">
        <f t="shared" si="94"/>
        <v>1.938013088647939</v>
      </c>
      <c r="CP44" s="40">
        <f t="shared" si="95"/>
        <v>0</v>
      </c>
      <c r="CQ44" s="40">
        <f t="shared" si="96"/>
        <v>1.9435340071574567</v>
      </c>
      <c r="CR44" s="40">
        <f t="shared" si="97"/>
        <v>1.9485571585149868</v>
      </c>
      <c r="CS44" s="40">
        <f t="shared" si="87"/>
        <v>0</v>
      </c>
      <c r="CT44" s="40">
        <f t="shared" si="61"/>
        <v>1.9485571585149868</v>
      </c>
      <c r="CU44" s="40">
        <f t="shared" si="99"/>
        <v>1.9485571585149868</v>
      </c>
      <c r="CV44" s="40">
        <f t="shared" si="100"/>
        <v>0</v>
      </c>
      <c r="CW44" s="40">
        <f t="shared" si="101"/>
        <v>1.9485571585149868</v>
      </c>
      <c r="CX44" s="40">
        <f t="shared" si="88"/>
        <v>1.753701442663488</v>
      </c>
      <c r="CY44" s="40">
        <f t="shared" si="89"/>
        <v>0</v>
      </c>
      <c r="CZ44" s="40">
        <f t="shared" si="98"/>
        <v>1.753701442663488</v>
      </c>
      <c r="DA44" s="40">
        <f t="shared" si="66"/>
        <v>0.15460498540696183</v>
      </c>
    </row>
    <row r="45" spans="1:105" ht="12.75">
      <c r="A45" s="61" t="s">
        <v>33</v>
      </c>
      <c r="B45" s="61" t="s">
        <v>34</v>
      </c>
      <c r="C45" s="61">
        <v>30</v>
      </c>
      <c r="D45" s="61" t="s">
        <v>303</v>
      </c>
      <c r="E45" s="61">
        <v>250</v>
      </c>
      <c r="F45" s="61">
        <v>0.9</v>
      </c>
      <c r="G45" s="61" t="s">
        <v>319</v>
      </c>
      <c r="H45" s="120"/>
      <c r="I45" s="61">
        <v>1</v>
      </c>
      <c r="J45" s="61" t="s">
        <v>285</v>
      </c>
      <c r="K45" s="61">
        <v>10</v>
      </c>
      <c r="L45" s="61">
        <v>65</v>
      </c>
      <c r="M45" s="61" t="s">
        <v>285</v>
      </c>
      <c r="N45" s="61">
        <v>10</v>
      </c>
      <c r="O45" s="61">
        <v>65</v>
      </c>
      <c r="P45" s="61" t="s">
        <v>136</v>
      </c>
      <c r="Q45" s="120"/>
      <c r="R45" s="120"/>
      <c r="S45" s="120">
        <v>50</v>
      </c>
      <c r="T45" s="120">
        <v>0.9</v>
      </c>
      <c r="U45" s="72">
        <f t="shared" si="90"/>
        <v>0.05508</v>
      </c>
      <c r="V45" s="72">
        <f t="shared" si="14"/>
        <v>0.05508</v>
      </c>
      <c r="W45" s="73">
        <f t="shared" si="15"/>
        <v>1.9485571585149868</v>
      </c>
      <c r="X45" s="72">
        <f t="shared" si="16"/>
        <v>0.061569256181061544</v>
      </c>
      <c r="Y45" s="72">
        <f t="shared" si="17"/>
        <v>0.061557407999999994</v>
      </c>
      <c r="Z45" s="72">
        <f t="shared" si="18"/>
        <v>0.061557407999999994</v>
      </c>
      <c r="AA45" s="72">
        <f t="shared" si="19"/>
        <v>0.061569256181061544</v>
      </c>
      <c r="AB45" s="72">
        <f t="shared" si="20"/>
        <v>0</v>
      </c>
      <c r="AC45" s="72">
        <f t="shared" si="21"/>
        <v>0</v>
      </c>
      <c r="AD45" s="74">
        <f t="shared" si="22"/>
        <v>52.323990673495075</v>
      </c>
      <c r="AE45" s="73">
        <f t="shared" si="67"/>
        <v>1.938013088647939</v>
      </c>
      <c r="AF45" s="40">
        <f t="shared" si="68"/>
        <v>1.2496677775052945</v>
      </c>
      <c r="AG45" s="40">
        <f t="shared" si="104"/>
        <v>0.5411220208052123</v>
      </c>
      <c r="AH45" s="40">
        <f>IF(B45="","",$D$5-MIN(BE45:BG45))</f>
        <v>1.4923858355989523</v>
      </c>
      <c r="AI45" s="260">
        <f>IF(B45="","",100*AH45/$D$5)</f>
        <v>0.3730964588997381</v>
      </c>
      <c r="AJ45" s="40">
        <f t="shared" si="5"/>
        <v>1.7453333176986634</v>
      </c>
      <c r="AK45" s="40">
        <f t="shared" si="6"/>
        <v>-0.8424407006595399</v>
      </c>
      <c r="AL45" s="261">
        <f>IF(B45="","",SQRT(AJ45^2+AK45^2))</f>
        <v>1.9380130866422858</v>
      </c>
      <c r="AM45" s="40">
        <f>IF(B45="","",I45*IF($H$14="Sí",IF(OR($D45="S",$D45="RST"),IF($D$2="Sí",($W45/$D$6)*($AX45*$F45+$AY45*SIN(ACOS($F45))),-$W45*$F45/2-SQRT(3)/2*$W45*SIN(ACOS($F45))))+SUMIF(INICIO,$B45,S_RE),0))</f>
        <v>0</v>
      </c>
      <c r="AN45" s="40">
        <f>IF(B45="","",I45*IF($H$14="Sí",IF(OR($D45="S",$D45="RST"),IF($D$2="Sí",($W45/$D$6)*($AY45*$F45-$AX45*SIN(ACOS($F45))),-SQRT(3)/2*$W45*$F45+0.5*$W45*SIN(ACOS($F45))))+SUMIF(INICIO,$B45,S_IM),0))</f>
        <v>0</v>
      </c>
      <c r="AO45" s="40">
        <f>IF(B45="","",SQRT(AM45^2+AN45^2))</f>
        <v>0</v>
      </c>
      <c r="AP45" s="40">
        <f>IF(B45="","",I45*IF($I$14="Sí",IF(OR($D45="T",$D45="RST"),IF($D$2="Sí",($W45/$D$6)*($AZ45*$F45+$BA45*SIN(ACOS($F45))),-$W45*$F45/2+SQRT(3)/2*$W45*SIN(ACOS($F45))))+SUMIF(INICIO,$B45,T_RE),0))</f>
        <v>0</v>
      </c>
      <c r="AQ45" s="40">
        <f>IF(B45="","",I45*IF($I$14="Sí",IF(OR($D45="T",$D45="RST"),IF($D$2="Sí",($W45/$D$6)*($BA45*$F45-$AZ45*SIN(ACOS($F45))),SQRT(3)/2*$W45*$F45+0.5*$W45*SIN(ACOS($F45))))+SUMIF(INICIO,$B45,T_IM),0))</f>
        <v>0</v>
      </c>
      <c r="AR45" s="40">
        <f>IF(B45="","",SQRT(AP45^2+AQ45^2))</f>
        <v>0</v>
      </c>
      <c r="AS45" s="40">
        <f>IF(B45="","",AJ45+AM45+AP45)</f>
        <v>1.7453333176986634</v>
      </c>
      <c r="AT45" s="40">
        <f>IF(B45="","",AK45+AN45+AQ45)</f>
        <v>-0.8424407006595399</v>
      </c>
      <c r="AU45" s="40">
        <f>IF(B45="","",SQRT(AS45^2+AT45^2))</f>
        <v>1.9380130866422858</v>
      </c>
      <c r="AV45" s="73">
        <f>IF(B45="","",SUMIF(FINAL,$A45,ac_R_Re)-($X45*$AJ45-$AB45*$AK45)-($AA45*$AS45-$AC45*$AT45))</f>
        <v>229.69023682826113</v>
      </c>
      <c r="AW45" s="73">
        <f>IF(B45="","",SUMIF(FINAL,$A45,ac_R_Im)-($X45*$AK45+$AB45*$AJ45)-($AA45*$AT45+$AC45*$AS45))</f>
        <v>0.3053655584442935</v>
      </c>
      <c r="AX45" s="73">
        <f>IF(B45="","",SUMIF(FINAL,$A45,ac_S_Re)-($Y45*$AM45-$AB45*$AN45)-($AA45*$AS45-$AC45*$AT45))</f>
        <v>-115.36075856856681</v>
      </c>
      <c r="AY45" s="73">
        <f>IF(B45="","",SUMIF(FINAL,$A45,ac_S_Im)-($Y45*$AN45+$AB45*$AM45)-($AA45*$AT45+$AC45*$AS45))</f>
        <v>-199.3535125880576</v>
      </c>
      <c r="AZ45" s="73">
        <f>IF(B45="","",SUMIF(FINAL,$A45,ac_T_Re)-($Z45*$AP45-$AB45*$AQ45)-($AA45*$AS45-$AC45*$AT45))</f>
        <v>-115.5212065348926</v>
      </c>
      <c r="BA45" s="73">
        <f>IF(B45="","",SUMIF(FINAL,$A45,ac_T_Im)-($Z45*$AQ45+$AB45*$AP45)-($AA45*$AT45+$AC45*$AS45))</f>
        <v>199.39674637694003</v>
      </c>
      <c r="BB45" s="73">
        <f>IF(B45="","",SQRT(AV45^2+AW45^2))</f>
        <v>229.69043981486683</v>
      </c>
      <c r="BC45" s="73">
        <f>IF(B45="","",SQRT(AX45^2+AY45^2))</f>
        <v>230.32569895413755</v>
      </c>
      <c r="BD45" s="73">
        <f>IF(B45="","",SQRT(AZ45^2+BA45^2))</f>
        <v>230.44351070270358</v>
      </c>
      <c r="BE45" s="73">
        <f>IF(B45="","",SQRT((AV45-AX45)^2+(AW45-AY45)^2))</f>
        <v>398.65255178797173</v>
      </c>
      <c r="BF45" s="73">
        <f>IF(B45="","",SQRT((AX45-AZ45)^2+(AY45-BA45)^2))</f>
        <v>398.75029124528874</v>
      </c>
      <c r="BG45" s="73">
        <f>IF(B45="","",SQRT((AZ45-AV45)^2+(BA45-AW45)^2))</f>
        <v>398.5076141619972</v>
      </c>
      <c r="BH45" s="73">
        <f>IF(B45="","",100*($D$6-BB45)/$D$6)</f>
        <v>0.5411220569523326</v>
      </c>
      <c r="BI45" s="73">
        <f>IF(B45="","",100*($D$6-BC45)/$D$6)</f>
        <v>0.2660467806549945</v>
      </c>
      <c r="BJ45" s="73">
        <f>IF(B45="","",100*($D$6-BD45)/$D$6)</f>
        <v>0.21503279709377252</v>
      </c>
      <c r="BK45" s="40">
        <f>IF(B45="","",I45*(W45+SUMIF(INICIO,$B45,I_tramo)))</f>
        <v>1.9485571585149868</v>
      </c>
      <c r="BL45" s="40">
        <f>IF(B45="","",BK45-CC45+1.25*CC45)</f>
        <v>1.9485571585149868</v>
      </c>
      <c r="BM45" s="40">
        <f>IF(B45="","",SUMIF(FINAL,$A45,U_FINAL)-SQRT(3)*U45*CN45)</f>
        <v>397.0355896823407</v>
      </c>
      <c r="BN45" s="40">
        <f>IF(B45="","",100*($D$5-BM45)/$D$5)</f>
        <v>0.7411025794148287</v>
      </c>
      <c r="BO45" s="40">
        <f>IF(B45="","",MAX(CR45:CT45)-CC45+1.25*CC45)</f>
        <v>1.9485571585149868</v>
      </c>
      <c r="BP45" s="40">
        <f>IF(B45="","",SUMIF(FINAL,$A45,U_FINAL_R)-SQRT(3)*U45*CX45)</f>
        <v>398.6962170091938</v>
      </c>
      <c r="BQ45" s="40">
        <f>IF(B45="","",100*($D$5-BP45)/$D$5)</f>
        <v>0.32594574770155305</v>
      </c>
      <c r="BR45" s="40">
        <f>IF(B45="","",SUMIF(FINAL,$A45,U_FINAL_S)-SQRT(3)*U45*CY45)</f>
        <v>399.1291468742172</v>
      </c>
      <c r="BS45" s="40">
        <f>IF(B45="","",100*($D$5-BR45)/$D$5)</f>
        <v>0.2177132814456968</v>
      </c>
      <c r="BT45" s="40">
        <f>IF(B45="","",SUMIF(FINAL,$A45,U_FINAL_T)-SQRT(3)*U45*CZ45)</f>
        <v>399.0238717989297</v>
      </c>
      <c r="BU45" s="40">
        <f>IF(B45="","",100*($D$5-BT45)/$D$5)</f>
        <v>0.24403205026757746</v>
      </c>
      <c r="BV45" s="75">
        <f>IF(B45="","",U45+SUMIF(FINAL,$A45,R_FINAL))</f>
        <v>0.18421624999999997</v>
      </c>
      <c r="BW45" s="75">
        <f>IF(B45="","",AB45+SUMIF(FINAL,$A45,X_FINAL))</f>
        <v>0.0007456624999999999</v>
      </c>
      <c r="BX45" s="40">
        <f>IF(B45="","",$D$6/SQRT((BV45-U45)^2+(BW45-AB45+$S$12)^2)/1000)</f>
        <v>1.733481274490422</v>
      </c>
      <c r="BY45" s="40">
        <f>IF(B45="","",SUMIF(Tipo_cable,J45,Constante_k)*K45/SQRT(IF(BZ45="",0.7,BZ45))/1000)</f>
        <v>1.7091769113481827</v>
      </c>
      <c r="BZ45" s="61"/>
      <c r="CA45" s="73">
        <f t="shared" si="49"/>
        <v>0.6805088312766246</v>
      </c>
      <c r="CB45" s="84"/>
      <c r="CC45" s="73">
        <f t="shared" si="50"/>
        <v>0</v>
      </c>
      <c r="CD45" s="73">
        <f t="shared" si="91"/>
        <v>1</v>
      </c>
      <c r="CE45" s="73">
        <f t="shared" si="92"/>
        <v>0</v>
      </c>
      <c r="CF45" s="73">
        <f t="shared" si="93"/>
        <v>0</v>
      </c>
      <c r="CG45" s="73">
        <f t="shared" si="54"/>
        <v>0</v>
      </c>
      <c r="CH45" s="73">
        <f t="shared" si="55"/>
        <v>0</v>
      </c>
      <c r="CI45" s="73">
        <f t="shared" si="56"/>
        <v>0</v>
      </c>
      <c r="CJ45" s="76">
        <f t="shared" si="57"/>
        <v>0</v>
      </c>
      <c r="CK45" s="76">
        <f t="shared" si="82"/>
        <v>0</v>
      </c>
      <c r="CL45" s="76">
        <f t="shared" si="83"/>
        <v>30</v>
      </c>
      <c r="CM45" s="76">
        <f t="shared" si="84"/>
        <v>0</v>
      </c>
      <c r="CN45" s="40">
        <f t="shared" si="9"/>
        <v>1.753701442663488</v>
      </c>
      <c r="CO45" s="40">
        <f t="shared" si="94"/>
        <v>1.9380130866422858</v>
      </c>
      <c r="CP45" s="40">
        <f t="shared" si="95"/>
        <v>0</v>
      </c>
      <c r="CQ45" s="40">
        <f t="shared" si="96"/>
        <v>0</v>
      </c>
      <c r="CR45" s="40">
        <f t="shared" si="97"/>
        <v>1.9485571585149868</v>
      </c>
      <c r="CS45" s="40">
        <f>IF($B45="","",I45*IF($H$14="Sí",IF(OR($D45="S",$D45="RST"),$W45)+SUMIF(INICIO,$B45,I_tramoS),0))</f>
        <v>0</v>
      </c>
      <c r="CT45" s="40">
        <f>IF($B45="","",I45*IF($I$14="Sí",IF(OR($D45="T",$D45="RST"),$W45)+SUMIF(INICIO,$B45,I_tramoT),0))</f>
        <v>0</v>
      </c>
      <c r="CU45" s="40">
        <f t="shared" si="99"/>
        <v>1.9485571585149868</v>
      </c>
      <c r="CV45" s="40">
        <f t="shared" si="100"/>
        <v>0</v>
      </c>
      <c r="CW45" s="40">
        <f t="shared" si="101"/>
        <v>0</v>
      </c>
      <c r="CX45" s="40">
        <f>IF($B45="","",I45*IF($G$14="Sí",IF(OR($D45="R",$D45="RST"),$W45*F45)+SUMIF(INICIO,$B45,IR_cosfi),0))</f>
        <v>1.753701442663488</v>
      </c>
      <c r="CY45" s="40">
        <f>IF($B45="","",I45*IF($H$14="Sí",IF(OR($D45="S",$D45="RST"),$W45*F45)+SUMIF(INICIO,$B45,IS_cosfi),0))</f>
        <v>0</v>
      </c>
      <c r="CZ45" s="40">
        <f>IF($B45="","",I45*IF($I$14="Sí",IF(OR($D45="T",$D45="RST"),$W45*F45)+SUMIF(INICIO,$B45,IT_cosfi),0))</f>
        <v>0</v>
      </c>
      <c r="DA45" s="40">
        <f t="shared" si="66"/>
        <v>0.23124764445085394</v>
      </c>
    </row>
    <row r="46" spans="1:105" ht="12.75">
      <c r="A46" s="61"/>
      <c r="B46" s="61"/>
      <c r="C46" s="61"/>
      <c r="D46" s="61"/>
      <c r="E46" s="61"/>
      <c r="F46" s="61"/>
      <c r="G46" s="61"/>
      <c r="H46" s="120"/>
      <c r="I46" s="61"/>
      <c r="J46" s="61"/>
      <c r="K46" s="61"/>
      <c r="L46" s="61"/>
      <c r="M46" s="61"/>
      <c r="N46" s="61"/>
      <c r="O46" s="61"/>
      <c r="P46" s="61"/>
      <c r="Q46" s="120"/>
      <c r="R46" s="120"/>
      <c r="S46" s="120"/>
      <c r="T46" s="120"/>
      <c r="U46" s="72">
        <f t="shared" si="90"/>
      </c>
      <c r="V46" s="72">
        <f t="shared" si="14"/>
      </c>
      <c r="W46" s="73">
        <f t="shared" si="15"/>
      </c>
      <c r="X46" s="72">
        <f t="shared" si="16"/>
      </c>
      <c r="Y46" s="72">
        <f t="shared" si="17"/>
      </c>
      <c r="Z46" s="72">
        <f t="shared" si="18"/>
      </c>
      <c r="AA46" s="72">
        <f t="shared" si="19"/>
      </c>
      <c r="AB46" s="72">
        <f t="shared" si="20"/>
      </c>
      <c r="AC46" s="72">
        <f t="shared" si="21"/>
      </c>
      <c r="AD46" s="74">
        <f t="shared" si="22"/>
      </c>
      <c r="AE46" s="73">
        <f t="shared" si="67"/>
      </c>
      <c r="AF46" s="40">
        <f t="shared" si="68"/>
      </c>
      <c r="AG46" s="40">
        <f t="shared" si="104"/>
      </c>
      <c r="AH46" s="40">
        <f t="shared" si="24"/>
      </c>
      <c r="AI46" s="260">
        <f t="shared" si="25"/>
      </c>
      <c r="AJ46" s="40">
        <f t="shared" si="5"/>
      </c>
      <c r="AK46" s="40">
        <f t="shared" si="6"/>
      </c>
      <c r="AL46" s="261">
        <f t="shared" si="26"/>
      </c>
      <c r="AM46" s="40">
        <f t="shared" si="27"/>
      </c>
      <c r="AN46" s="40">
        <f t="shared" si="28"/>
      </c>
      <c r="AO46" s="40">
        <f t="shared" si="29"/>
      </c>
      <c r="AP46" s="40">
        <f t="shared" si="30"/>
      </c>
      <c r="AQ46" s="40">
        <f t="shared" si="31"/>
      </c>
      <c r="AR46" s="40">
        <f t="shared" si="32"/>
      </c>
      <c r="AS46" s="40">
        <f t="shared" si="33"/>
      </c>
      <c r="AT46" s="40">
        <f t="shared" si="34"/>
      </c>
      <c r="AU46" s="40">
        <f t="shared" si="35"/>
      </c>
      <c r="AV46" s="73">
        <f t="shared" si="69"/>
      </c>
      <c r="AW46" s="73">
        <f t="shared" si="70"/>
      </c>
      <c r="AX46" s="73">
        <f t="shared" si="71"/>
      </c>
      <c r="AY46" s="73">
        <f t="shared" si="72"/>
      </c>
      <c r="AZ46" s="73">
        <f t="shared" si="73"/>
      </c>
      <c r="BA46" s="73">
        <f t="shared" si="74"/>
      </c>
      <c r="BB46" s="73">
        <f t="shared" si="75"/>
      </c>
      <c r="BC46" s="73">
        <f t="shared" si="76"/>
      </c>
      <c r="BD46" s="73">
        <f t="shared" si="77"/>
      </c>
      <c r="BE46" s="73">
        <f t="shared" si="36"/>
      </c>
      <c r="BF46" s="73">
        <f t="shared" si="37"/>
      </c>
      <c r="BG46" s="73">
        <f t="shared" si="38"/>
      </c>
      <c r="BH46" s="73">
        <f t="shared" si="39"/>
      </c>
      <c r="BI46" s="73">
        <f t="shared" si="102"/>
      </c>
      <c r="BJ46" s="73">
        <f t="shared" si="103"/>
      </c>
      <c r="BK46" s="40">
        <f t="shared" si="78"/>
      </c>
      <c r="BL46" s="40">
        <f t="shared" si="79"/>
      </c>
      <c r="BM46" s="40">
        <f t="shared" si="80"/>
      </c>
      <c r="BN46" s="40">
        <f t="shared" si="40"/>
      </c>
      <c r="BO46" s="40">
        <f t="shared" si="7"/>
      </c>
      <c r="BP46" s="40">
        <f t="shared" si="41"/>
      </c>
      <c r="BQ46" s="40">
        <f t="shared" si="42"/>
      </c>
      <c r="BR46" s="40">
        <f t="shared" si="43"/>
      </c>
      <c r="BS46" s="40">
        <f t="shared" si="81"/>
      </c>
      <c r="BT46" s="40">
        <f aca="true" t="shared" si="105" ref="BT46:BT53">IF(B46="","",SUMIF(FINAL,$A46,U_FINAL_T)-SQRT(3)*U46*CZ46)</f>
      </c>
      <c r="BU46" s="40">
        <f t="shared" si="45"/>
      </c>
      <c r="BV46" s="75">
        <f t="shared" si="46"/>
      </c>
      <c r="BW46" s="75">
        <f t="shared" si="47"/>
      </c>
      <c r="BX46" s="40">
        <f t="shared" si="8"/>
      </c>
      <c r="BY46" s="40">
        <f t="shared" si="48"/>
      </c>
      <c r="BZ46" s="61"/>
      <c r="CA46" s="73">
        <f t="shared" si="49"/>
      </c>
      <c r="CB46" s="84"/>
      <c r="CC46" s="73">
        <f t="shared" si="50"/>
      </c>
      <c r="CD46" s="73">
        <f t="shared" si="91"/>
      </c>
      <c r="CE46" s="73">
        <f t="shared" si="92"/>
      </c>
      <c r="CF46" s="73">
        <f t="shared" si="93"/>
      </c>
      <c r="CG46" s="73">
        <f t="shared" si="54"/>
      </c>
      <c r="CH46" s="73">
        <f t="shared" si="55"/>
      </c>
      <c r="CI46" s="73">
        <f t="shared" si="56"/>
      </c>
      <c r="CJ46" s="76">
        <f t="shared" si="57"/>
      </c>
      <c r="CK46" s="76">
        <f t="shared" si="82"/>
      </c>
      <c r="CL46" s="76">
        <f t="shared" si="83"/>
      </c>
      <c r="CM46" s="76">
        <f t="shared" si="84"/>
      </c>
      <c r="CN46" s="40">
        <f t="shared" si="9"/>
      </c>
      <c r="CO46" s="40">
        <f t="shared" si="94"/>
      </c>
      <c r="CP46" s="40">
        <f t="shared" si="95"/>
      </c>
      <c r="CQ46" s="40">
        <f t="shared" si="96"/>
      </c>
      <c r="CR46" s="40">
        <f t="shared" si="97"/>
      </c>
      <c r="CS46" s="40">
        <f t="shared" si="87"/>
      </c>
      <c r="CT46" s="40">
        <f t="shared" si="61"/>
      </c>
      <c r="CU46" s="40">
        <f t="shared" si="99"/>
      </c>
      <c r="CV46" s="40">
        <f t="shared" si="100"/>
      </c>
      <c r="CW46" s="40">
        <f t="shared" si="101"/>
      </c>
      <c r="CX46" s="40">
        <f t="shared" si="88"/>
      </c>
      <c r="CY46" s="40">
        <f t="shared" si="89"/>
      </c>
      <c r="CZ46" s="40">
        <f t="shared" si="98"/>
      </c>
      <c r="DA46" s="40">
        <f t="shared" si="66"/>
      </c>
    </row>
    <row r="47" spans="1:105" ht="12.75">
      <c r="A47" s="61" t="s">
        <v>10</v>
      </c>
      <c r="B47" s="61" t="s">
        <v>35</v>
      </c>
      <c r="C47" s="61">
        <v>90</v>
      </c>
      <c r="D47" s="61"/>
      <c r="E47" s="61"/>
      <c r="F47" s="61"/>
      <c r="G47" s="61"/>
      <c r="H47" s="120" t="s">
        <v>36</v>
      </c>
      <c r="I47" s="61">
        <v>1</v>
      </c>
      <c r="J47" s="61" t="s">
        <v>292</v>
      </c>
      <c r="K47" s="61">
        <v>70</v>
      </c>
      <c r="L47" s="61">
        <v>220</v>
      </c>
      <c r="M47" s="61" t="s">
        <v>292</v>
      </c>
      <c r="N47" s="61">
        <v>35</v>
      </c>
      <c r="O47" s="61">
        <v>150</v>
      </c>
      <c r="P47" s="61" t="s">
        <v>139</v>
      </c>
      <c r="Q47" s="120"/>
      <c r="R47" s="120"/>
      <c r="S47" s="120">
        <v>30</v>
      </c>
      <c r="T47" s="120">
        <v>0.8</v>
      </c>
      <c r="U47" s="72">
        <f t="shared" si="90"/>
        <v>0.03803142857142857</v>
      </c>
      <c r="V47" s="72">
        <f t="shared" si="14"/>
        <v>0.07606285714285714</v>
      </c>
      <c r="W47" s="73">
        <f t="shared" si="15"/>
        <v>0</v>
      </c>
      <c r="X47" s="72">
        <f t="shared" si="16"/>
        <v>0.04047772747864572</v>
      </c>
      <c r="Y47" s="72">
        <f t="shared" si="17"/>
        <v>0.04176742493927514</v>
      </c>
      <c r="Z47" s="72">
        <f t="shared" si="18"/>
        <v>0.04025010474597395</v>
      </c>
      <c r="AA47" s="72">
        <f t="shared" si="19"/>
        <v>0.07995468176603816</v>
      </c>
      <c r="AB47" s="72">
        <f t="shared" si="20"/>
        <v>0.014451942857142857</v>
      </c>
      <c r="AC47" s="72">
        <f t="shared" si="21"/>
        <v>0.007606285714285715</v>
      </c>
      <c r="AD47" s="74">
        <f t="shared" si="22"/>
        <v>169.095330418172</v>
      </c>
      <c r="AE47" s="73">
        <f t="shared" si="67"/>
        <v>84.46788805275891</v>
      </c>
      <c r="AF47" s="40">
        <f t="shared" si="68"/>
        <v>6.864752804742267</v>
      </c>
      <c r="AG47" s="40">
        <f t="shared" si="104"/>
        <v>2.9725251598036393</v>
      </c>
      <c r="AH47" s="40">
        <f t="shared" si="24"/>
        <v>5.672680270768524</v>
      </c>
      <c r="AI47" s="260">
        <f t="shared" si="25"/>
        <v>1.418170067692131</v>
      </c>
      <c r="AJ47" s="40">
        <f t="shared" si="5"/>
        <v>46.414044508250164</v>
      </c>
      <c r="AK47" s="40">
        <f t="shared" si="6"/>
        <v>-26.201245410339965</v>
      </c>
      <c r="AL47" s="261">
        <f t="shared" si="26"/>
        <v>53.298862920954406</v>
      </c>
      <c r="AM47" s="40">
        <f t="shared" si="27"/>
        <v>-68.63996880782605</v>
      </c>
      <c r="AN47" s="40">
        <f t="shared" si="28"/>
        <v>-46.25357271527394</v>
      </c>
      <c r="AO47" s="40">
        <f t="shared" si="29"/>
        <v>82.76979102828801</v>
      </c>
      <c r="AP47" s="40">
        <f t="shared" si="30"/>
        <v>-2.110230174003136</v>
      </c>
      <c r="AQ47" s="40">
        <f t="shared" si="31"/>
        <v>46.136370078313675</v>
      </c>
      <c r="AR47" s="40">
        <f t="shared" si="32"/>
        <v>46.184604744334344</v>
      </c>
      <c r="AS47" s="40">
        <f t="shared" si="33"/>
        <v>-24.336154473579022</v>
      </c>
      <c r="AT47" s="40">
        <f t="shared" si="34"/>
        <v>-26.318448047300237</v>
      </c>
      <c r="AU47" s="40">
        <f t="shared" si="35"/>
        <v>35.84562905265218</v>
      </c>
      <c r="AV47" s="73">
        <f t="shared" si="69"/>
        <v>230.10120914502687</v>
      </c>
      <c r="AW47" s="73">
        <f t="shared" si="70"/>
        <v>2.6549691730760827</v>
      </c>
      <c r="AX47" s="73">
        <f t="shared" si="71"/>
        <v>-111.4694243403001</v>
      </c>
      <c r="AY47" s="73">
        <f t="shared" si="72"/>
        <v>-194.38192477518947</v>
      </c>
      <c r="AZ47" s="73">
        <f t="shared" si="73"/>
        <v>-112.78494101921862</v>
      </c>
      <c r="BA47" s="73">
        <f t="shared" si="74"/>
        <v>200.3591208082617</v>
      </c>
      <c r="BB47" s="73">
        <f t="shared" si="75"/>
        <v>230.11652550678187</v>
      </c>
      <c r="BC47" s="73">
        <f t="shared" si="76"/>
        <v>224.0753561685562</v>
      </c>
      <c r="BD47" s="73">
        <f t="shared" si="77"/>
        <v>229.9222046949103</v>
      </c>
      <c r="BE47" s="73">
        <f t="shared" si="36"/>
        <v>394.32731992134103</v>
      </c>
      <c r="BF47" s="73">
        <f t="shared" si="37"/>
        <v>394.74323762725663</v>
      </c>
      <c r="BG47" s="73">
        <f t="shared" si="38"/>
        <v>395.8002571351438</v>
      </c>
      <c r="BH47" s="73">
        <f t="shared" si="39"/>
        <v>0.3566215402585879</v>
      </c>
      <c r="BI47" s="73">
        <f t="shared" si="102"/>
        <v>2.972524597992116</v>
      </c>
      <c r="BJ47" s="73">
        <f t="shared" si="103"/>
        <v>0.4407649200409831</v>
      </c>
      <c r="BK47" s="40">
        <f t="shared" si="78"/>
        <v>173.93525903850988</v>
      </c>
      <c r="BL47" s="40">
        <f t="shared" si="79"/>
        <v>175.6333480655382</v>
      </c>
      <c r="BM47" s="40">
        <f t="shared" si="80"/>
        <v>389.18672246805494</v>
      </c>
      <c r="BN47" s="40">
        <f t="shared" si="40"/>
        <v>2.7033193829862654</v>
      </c>
      <c r="BO47" s="40">
        <f t="shared" si="7"/>
        <v>88.1647822833099</v>
      </c>
      <c r="BP47" s="40">
        <f t="shared" si="41"/>
        <v>396.6499294377652</v>
      </c>
      <c r="BQ47" s="40">
        <f t="shared" si="42"/>
        <v>0.8375176405587013</v>
      </c>
      <c r="BR47" s="40">
        <f t="shared" si="43"/>
        <v>394.5830141599315</v>
      </c>
      <c r="BS47" s="40">
        <f t="shared" si="81"/>
        <v>1.354246460017123</v>
      </c>
      <c r="BT47" s="40">
        <f t="shared" si="105"/>
        <v>397.00679629892966</v>
      </c>
      <c r="BU47" s="40">
        <f t="shared" si="45"/>
        <v>0.7483009252675856</v>
      </c>
      <c r="BV47" s="75">
        <f t="shared" si="46"/>
        <v>0.03864767857142857</v>
      </c>
      <c r="BW47" s="75">
        <f t="shared" si="47"/>
        <v>0.015197605357142856</v>
      </c>
      <c r="BX47" s="40">
        <f t="shared" si="8"/>
        <v>7.051291847326828</v>
      </c>
      <c r="BY47" s="40">
        <f t="shared" si="48"/>
        <v>7.86460424942031</v>
      </c>
      <c r="BZ47" s="61"/>
      <c r="CA47" s="73">
        <f t="shared" si="49"/>
        <v>0.8707919527216409</v>
      </c>
      <c r="CB47" s="84"/>
      <c r="CC47" s="73">
        <f t="shared" si="50"/>
        <v>6.792356108113245</v>
      </c>
      <c r="CD47" s="73">
        <f t="shared" si="91"/>
        <v>0</v>
      </c>
      <c r="CE47" s="73">
        <f t="shared" si="92"/>
        <v>0</v>
      </c>
      <c r="CF47" s="73">
        <f t="shared" si="93"/>
        <v>0</v>
      </c>
      <c r="CG47" s="73">
        <f t="shared" si="54"/>
        <v>6.792356108113245</v>
      </c>
      <c r="CH47" s="73">
        <f t="shared" si="55"/>
        <v>6.792356108113245</v>
      </c>
      <c r="CI47" s="73">
        <f t="shared" si="56"/>
        <v>6.792356108113245</v>
      </c>
      <c r="CJ47" s="76">
        <f t="shared" si="57"/>
        <v>0</v>
      </c>
      <c r="CK47" s="76">
        <f t="shared" si="82"/>
        <v>270</v>
      </c>
      <c r="CL47" s="76">
        <f t="shared" si="83"/>
        <v>0</v>
      </c>
      <c r="CM47" s="76">
        <f t="shared" si="84"/>
        <v>0</v>
      </c>
      <c r="CN47" s="40">
        <f t="shared" si="9"/>
        <v>153.86384673903524</v>
      </c>
      <c r="CO47" s="40">
        <f t="shared" si="94"/>
        <v>54.996951947982716</v>
      </c>
      <c r="CP47" s="40">
        <f t="shared" si="95"/>
        <v>84.46788005531633</v>
      </c>
      <c r="CQ47" s="40">
        <f t="shared" si="96"/>
        <v>47.88269377136265</v>
      </c>
      <c r="CR47" s="40">
        <f t="shared" si="97"/>
        <v>54.42375331625737</v>
      </c>
      <c r="CS47" s="40">
        <f t="shared" si="87"/>
        <v>86.46669325628159</v>
      </c>
      <c r="CT47" s="40">
        <f t="shared" si="61"/>
        <v>46.62952468219742</v>
      </c>
      <c r="CU47" s="40">
        <f t="shared" si="99"/>
        <v>56.12184234328568</v>
      </c>
      <c r="CV47" s="40">
        <f t="shared" si="100"/>
        <v>88.1647822833099</v>
      </c>
      <c r="CW47" s="40">
        <f t="shared" si="101"/>
        <v>48.32761370922573</v>
      </c>
      <c r="CX47" s="40">
        <f t="shared" si="88"/>
        <v>46.30349158900798</v>
      </c>
      <c r="CY47" s="40">
        <f t="shared" si="89"/>
        <v>77.48040612524777</v>
      </c>
      <c r="CZ47" s="40">
        <f t="shared" si="98"/>
        <v>41.62695440857202</v>
      </c>
      <c r="DA47" s="40">
        <f t="shared" si="66"/>
        <v>486.98392608013</v>
      </c>
    </row>
    <row r="48" spans="1:105" ht="12.75">
      <c r="A48" s="61" t="s">
        <v>35</v>
      </c>
      <c r="B48" s="61" t="s">
        <v>37</v>
      </c>
      <c r="C48" s="61">
        <v>30</v>
      </c>
      <c r="D48" s="61"/>
      <c r="E48" s="61"/>
      <c r="F48" s="61"/>
      <c r="G48" s="61"/>
      <c r="H48" s="120" t="s">
        <v>36</v>
      </c>
      <c r="I48" s="61">
        <v>1</v>
      </c>
      <c r="J48" s="61" t="s">
        <v>292</v>
      </c>
      <c r="K48" s="61">
        <v>16</v>
      </c>
      <c r="L48" s="61">
        <v>97</v>
      </c>
      <c r="M48" s="61" t="s">
        <v>292</v>
      </c>
      <c r="N48" s="61">
        <v>16</v>
      </c>
      <c r="O48" s="61">
        <v>97</v>
      </c>
      <c r="P48" s="61" t="s">
        <v>139</v>
      </c>
      <c r="Q48" s="120"/>
      <c r="R48" s="120"/>
      <c r="S48" s="120">
        <v>30</v>
      </c>
      <c r="T48" s="120">
        <v>0.8</v>
      </c>
      <c r="U48" s="72">
        <f t="shared" si="90"/>
        <v>0.055462500000000005</v>
      </c>
      <c r="V48" s="72">
        <f t="shared" si="14"/>
        <v>0.055462500000000005</v>
      </c>
      <c r="W48" s="73">
        <f t="shared" si="15"/>
        <v>0</v>
      </c>
      <c r="X48" s="72">
        <f t="shared" si="16"/>
        <v>0.05819293832499592</v>
      </c>
      <c r="Y48" s="72">
        <f t="shared" si="17"/>
        <v>0.057801985596055115</v>
      </c>
      <c r="Z48" s="72">
        <f t="shared" si="18"/>
        <v>0.05780805656204855</v>
      </c>
      <c r="AA48" s="72">
        <f t="shared" si="19"/>
        <v>0.05784686141028285</v>
      </c>
      <c r="AB48" s="72">
        <f t="shared" si="20"/>
        <v>0.005546250000000001</v>
      </c>
      <c r="AC48" s="72">
        <f t="shared" si="21"/>
        <v>0.0027731250000000004</v>
      </c>
      <c r="AD48" s="74">
        <f t="shared" si="22"/>
        <v>74.55566841164857</v>
      </c>
      <c r="AE48" s="73">
        <f t="shared" si="67"/>
        <v>16.026128743024284</v>
      </c>
      <c r="AF48" s="40">
        <f t="shared" si="68"/>
        <v>7.3403227822642805</v>
      </c>
      <c r="AG48" s="40">
        <f t="shared" si="104"/>
        <v>3.1784530007092684</v>
      </c>
      <c r="AH48" s="40">
        <f t="shared" si="24"/>
        <v>6.383247843754361</v>
      </c>
      <c r="AI48" s="260">
        <f t="shared" si="25"/>
        <v>1.5958119609385903</v>
      </c>
      <c r="AJ48" s="40">
        <f t="shared" si="5"/>
        <v>10.60681981400327</v>
      </c>
      <c r="AK48" s="40">
        <f t="shared" si="6"/>
        <v>-9.632657758902015</v>
      </c>
      <c r="AL48" s="261">
        <f t="shared" si="26"/>
        <v>14.328039714729561</v>
      </c>
      <c r="AM48" s="40">
        <f t="shared" si="27"/>
        <v>-5.789817863418911</v>
      </c>
      <c r="AN48" s="40">
        <f t="shared" si="28"/>
        <v>-3.118956687664253</v>
      </c>
      <c r="AO48" s="40">
        <f t="shared" si="29"/>
        <v>6.576464225637534</v>
      </c>
      <c r="AP48" s="40">
        <f t="shared" si="30"/>
        <v>0.27649234619988594</v>
      </c>
      <c r="AQ48" s="40">
        <f t="shared" si="31"/>
        <v>6.759418573592179</v>
      </c>
      <c r="AR48" s="40">
        <f t="shared" si="32"/>
        <v>6.765071135659259</v>
      </c>
      <c r="AS48" s="40">
        <f t="shared" si="33"/>
        <v>5.093494296784245</v>
      </c>
      <c r="AT48" s="40">
        <f t="shared" si="34"/>
        <v>-5.992195872974089</v>
      </c>
      <c r="AU48" s="40">
        <f t="shared" si="35"/>
        <v>7.864483170015773</v>
      </c>
      <c r="AV48" s="73">
        <f t="shared" si="69"/>
        <v>229.11928223881054</v>
      </c>
      <c r="AW48" s="73">
        <f t="shared" si="70"/>
        <v>3.4891985853876766</v>
      </c>
      <c r="AX48" s="73">
        <f t="shared" si="71"/>
        <v>-111.46331965194432</v>
      </c>
      <c r="AY48" s="73">
        <f t="shared" si="72"/>
        <v>-193.83702628049397</v>
      </c>
      <c r="AZ48" s="73">
        <f t="shared" si="73"/>
        <v>-113.07469484600333</v>
      </c>
      <c r="BA48" s="73">
        <f t="shared" si="74"/>
        <v>200.29934328919325</v>
      </c>
      <c r="BB48" s="73">
        <f t="shared" si="75"/>
        <v>229.14584875226518</v>
      </c>
      <c r="BC48" s="73">
        <f t="shared" si="76"/>
        <v>223.59978619197386</v>
      </c>
      <c r="BD48" s="73">
        <f t="shared" si="77"/>
        <v>230.01242039637523</v>
      </c>
      <c r="BE48" s="73">
        <f t="shared" si="36"/>
        <v>393.6167523499183</v>
      </c>
      <c r="BF48" s="73">
        <f t="shared" si="37"/>
        <v>394.1396635046885</v>
      </c>
      <c r="BG48" s="73">
        <f t="shared" si="38"/>
        <v>394.7542919481117</v>
      </c>
      <c r="BH48" s="73">
        <f t="shared" si="39"/>
        <v>0.7769369043958296</v>
      </c>
      <c r="BI48" s="73">
        <f t="shared" si="102"/>
        <v>3.1784524384908526</v>
      </c>
      <c r="BJ48" s="73">
        <f t="shared" si="103"/>
        <v>0.40170037539655296</v>
      </c>
      <c r="BK48" s="40">
        <f t="shared" si="78"/>
        <v>14.586584742173192</v>
      </c>
      <c r="BL48" s="40">
        <f t="shared" si="79"/>
        <v>16.284673769201504</v>
      </c>
      <c r="BM48" s="40">
        <f t="shared" si="80"/>
        <v>388.18285121805496</v>
      </c>
      <c r="BN48" s="40">
        <f t="shared" si="40"/>
        <v>2.954287195486259</v>
      </c>
      <c r="BO48" s="40">
        <f t="shared" si="7"/>
        <v>16.284673769201504</v>
      </c>
      <c r="BP48" s="40">
        <f t="shared" si="41"/>
        <v>395.6460581877652</v>
      </c>
      <c r="BQ48" s="40">
        <f t="shared" si="42"/>
        <v>1.088485453058695</v>
      </c>
      <c r="BR48" s="40">
        <f t="shared" si="43"/>
        <v>394.0283891599315</v>
      </c>
      <c r="BS48" s="40">
        <f t="shared" si="81"/>
        <v>1.4929027100171197</v>
      </c>
      <c r="BT48" s="40">
        <f t="shared" si="105"/>
        <v>396.45217129892967</v>
      </c>
      <c r="BU48" s="40">
        <f t="shared" si="45"/>
        <v>0.8869571752675824</v>
      </c>
      <c r="BV48" s="75">
        <f t="shared" si="46"/>
        <v>0.09411017857142857</v>
      </c>
      <c r="BW48" s="75">
        <f t="shared" si="47"/>
        <v>0.020743855357142856</v>
      </c>
      <c r="BX48" s="40">
        <f t="shared" si="8"/>
        <v>3.7857726646429803</v>
      </c>
      <c r="BY48" s="40">
        <f t="shared" si="48"/>
        <v>1.797623828438928</v>
      </c>
      <c r="BZ48" s="61"/>
      <c r="CA48" s="73">
        <f t="shared" si="49"/>
        <v>0.1578289293310773</v>
      </c>
      <c r="CB48" s="84"/>
      <c r="CC48" s="73">
        <f t="shared" si="50"/>
        <v>6.792356108113245</v>
      </c>
      <c r="CD48" s="73">
        <f t="shared" si="91"/>
        <v>0</v>
      </c>
      <c r="CE48" s="73">
        <f t="shared" si="92"/>
        <v>0</v>
      </c>
      <c r="CF48" s="73">
        <f t="shared" si="93"/>
        <v>0</v>
      </c>
      <c r="CG48" s="73">
        <f t="shared" si="54"/>
        <v>6.792356108113245</v>
      </c>
      <c r="CH48" s="73">
        <f t="shared" si="55"/>
        <v>6.792356108113245</v>
      </c>
      <c r="CI48" s="73">
        <f t="shared" si="56"/>
        <v>6.792356108113245</v>
      </c>
      <c r="CJ48" s="76">
        <f t="shared" si="57"/>
        <v>0</v>
      </c>
      <c r="CK48" s="76">
        <f t="shared" si="82"/>
        <v>90</v>
      </c>
      <c r="CL48" s="76">
        <f t="shared" si="83"/>
        <v>0</v>
      </c>
      <c r="CM48" s="76">
        <f t="shared" si="84"/>
        <v>0</v>
      </c>
      <c r="CN48" s="40">
        <f t="shared" si="9"/>
        <v>10.450039872332226</v>
      </c>
      <c r="CO48" s="40">
        <f t="shared" si="94"/>
        <v>16.026128741757873</v>
      </c>
      <c r="CP48" s="40">
        <f t="shared" si="95"/>
        <v>8.274553252665845</v>
      </c>
      <c r="CQ48" s="40">
        <f t="shared" si="96"/>
        <v>8.463160162687569</v>
      </c>
      <c r="CR48" s="40">
        <f t="shared" si="97"/>
        <v>14.586584742173192</v>
      </c>
      <c r="CS48" s="40">
        <f t="shared" si="87"/>
        <v>6.792356108113245</v>
      </c>
      <c r="CT48" s="40">
        <f t="shared" si="61"/>
        <v>6.792356108113245</v>
      </c>
      <c r="CU48" s="40">
        <f t="shared" si="99"/>
        <v>16.284673769201504</v>
      </c>
      <c r="CV48" s="40">
        <f t="shared" si="100"/>
        <v>8.490445135141556</v>
      </c>
      <c r="CW48" s="40">
        <f t="shared" si="101"/>
        <v>8.490445135141556</v>
      </c>
      <c r="CX48" s="40">
        <f t="shared" si="88"/>
        <v>10.450039872332226</v>
      </c>
      <c r="CY48" s="40">
        <f t="shared" si="89"/>
        <v>5.773502691896258</v>
      </c>
      <c r="CZ48" s="40">
        <f t="shared" si="98"/>
        <v>5.773502691896258</v>
      </c>
      <c r="DA48" s="40">
        <f t="shared" si="66"/>
        <v>17.092170107429</v>
      </c>
    </row>
    <row r="49" spans="1:105" ht="12.75">
      <c r="A49" s="61" t="s">
        <v>37</v>
      </c>
      <c r="B49" s="61" t="s">
        <v>36</v>
      </c>
      <c r="C49" s="61">
        <v>0</v>
      </c>
      <c r="D49" s="61" t="s">
        <v>306</v>
      </c>
      <c r="E49" s="61">
        <v>4000</v>
      </c>
      <c r="F49" s="61">
        <v>0.85</v>
      </c>
      <c r="G49" s="61" t="s">
        <v>318</v>
      </c>
      <c r="H49" s="120" t="s">
        <v>36</v>
      </c>
      <c r="I49" s="61">
        <v>1</v>
      </c>
      <c r="J49" s="61" t="s">
        <v>286</v>
      </c>
      <c r="K49" s="61">
        <v>6</v>
      </c>
      <c r="L49" s="61">
        <v>72</v>
      </c>
      <c r="M49" s="61" t="s">
        <v>286</v>
      </c>
      <c r="N49" s="61">
        <v>6</v>
      </c>
      <c r="O49" s="61">
        <v>72</v>
      </c>
      <c r="P49" s="61" t="s">
        <v>138</v>
      </c>
      <c r="Q49" s="120"/>
      <c r="R49" s="120"/>
      <c r="S49" s="120">
        <v>30</v>
      </c>
      <c r="T49" s="120">
        <v>0.8</v>
      </c>
      <c r="U49" s="72">
        <f t="shared" si="90"/>
        <v>0</v>
      </c>
      <c r="V49" s="72">
        <f t="shared" si="14"/>
        <v>0</v>
      </c>
      <c r="W49" s="73">
        <f t="shared" si="15"/>
        <v>6.792356108113245</v>
      </c>
      <c r="X49" s="72">
        <f t="shared" si="16"/>
        <v>0</v>
      </c>
      <c r="Y49" s="72">
        <f t="shared" si="17"/>
        <v>0</v>
      </c>
      <c r="Z49" s="72">
        <f t="shared" si="18"/>
        <v>0</v>
      </c>
      <c r="AA49" s="72">
        <f t="shared" si="19"/>
        <v>0</v>
      </c>
      <c r="AB49" s="72">
        <f t="shared" si="20"/>
        <v>0</v>
      </c>
      <c r="AC49" s="72">
        <f t="shared" si="21"/>
        <v>0</v>
      </c>
      <c r="AD49" s="74">
        <f t="shared" si="22"/>
        <v>55.340289955038116</v>
      </c>
      <c r="AE49" s="73">
        <f t="shared" si="67"/>
        <v>8.54363053300855</v>
      </c>
      <c r="AF49" s="40">
        <f t="shared" si="68"/>
        <v>7.3403227822642805</v>
      </c>
      <c r="AG49" s="40">
        <f t="shared" si="104"/>
        <v>3.1784530007092684</v>
      </c>
      <c r="AH49" s="40">
        <f t="shared" si="24"/>
        <v>6.383247843754361</v>
      </c>
      <c r="AI49" s="260">
        <f t="shared" si="25"/>
        <v>1.5958119609385903</v>
      </c>
      <c r="AJ49" s="40">
        <f t="shared" si="5"/>
        <v>5.872945928837252</v>
      </c>
      <c r="AK49" s="40">
        <f t="shared" si="6"/>
        <v>-3.5170933395853345</v>
      </c>
      <c r="AL49" s="261">
        <f t="shared" si="26"/>
        <v>6.845541574075902</v>
      </c>
      <c r="AM49" s="40">
        <f t="shared" si="27"/>
        <v>-5.789817915211347</v>
      </c>
      <c r="AN49" s="40">
        <f t="shared" si="28"/>
        <v>-3.1189566672983617</v>
      </c>
      <c r="AO49" s="40">
        <f t="shared" si="29"/>
        <v>6.576464261576062</v>
      </c>
      <c r="AP49" s="40">
        <f t="shared" si="30"/>
        <v>0.2764922839653984</v>
      </c>
      <c r="AQ49" s="40">
        <f t="shared" si="31"/>
        <v>6.759418594506925</v>
      </c>
      <c r="AR49" s="40">
        <f t="shared" si="32"/>
        <v>6.765071154012969</v>
      </c>
      <c r="AS49" s="40">
        <f t="shared" si="33"/>
        <v>0.35962029759130354</v>
      </c>
      <c r="AT49" s="40">
        <f t="shared" si="34"/>
        <v>0.12336858762322844</v>
      </c>
      <c r="AU49" s="40">
        <f t="shared" si="35"/>
        <v>0.38019280220936313</v>
      </c>
      <c r="AV49" s="73">
        <f t="shared" si="69"/>
        <v>229.11928223881054</v>
      </c>
      <c r="AW49" s="73">
        <f t="shared" si="70"/>
        <v>3.4891985853876766</v>
      </c>
      <c r="AX49" s="73">
        <f t="shared" si="71"/>
        <v>-111.46331965194432</v>
      </c>
      <c r="AY49" s="73">
        <f t="shared" si="72"/>
        <v>-193.83702628049397</v>
      </c>
      <c r="AZ49" s="73">
        <f t="shared" si="73"/>
        <v>-113.07469484600333</v>
      </c>
      <c r="BA49" s="73">
        <f t="shared" si="74"/>
        <v>200.29934328919325</v>
      </c>
      <c r="BB49" s="73">
        <f t="shared" si="75"/>
        <v>229.14584875226518</v>
      </c>
      <c r="BC49" s="73">
        <f t="shared" si="76"/>
        <v>223.59978619197386</v>
      </c>
      <c r="BD49" s="73">
        <f t="shared" si="77"/>
        <v>230.01242039637523</v>
      </c>
      <c r="BE49" s="73">
        <f t="shared" si="36"/>
        <v>393.6167523499183</v>
      </c>
      <c r="BF49" s="73">
        <f t="shared" si="37"/>
        <v>394.1396635046885</v>
      </c>
      <c r="BG49" s="73">
        <f t="shared" si="38"/>
        <v>394.7542919481117</v>
      </c>
      <c r="BH49" s="73">
        <f t="shared" si="39"/>
        <v>0.7769369043958296</v>
      </c>
      <c r="BI49" s="73">
        <f t="shared" si="102"/>
        <v>3.1784524384908526</v>
      </c>
      <c r="BJ49" s="73">
        <f t="shared" si="103"/>
        <v>0.40170037539655296</v>
      </c>
      <c r="BK49" s="40">
        <f t="shared" si="78"/>
        <v>6.792356108113245</v>
      </c>
      <c r="BL49" s="40">
        <f t="shared" si="79"/>
        <v>8.490445135141556</v>
      </c>
      <c r="BM49" s="40">
        <f t="shared" si="80"/>
        <v>388.18285121805496</v>
      </c>
      <c r="BN49" s="40">
        <f t="shared" si="40"/>
        <v>2.954287195486259</v>
      </c>
      <c r="BO49" s="40">
        <f t="shared" si="7"/>
        <v>8.490445135141556</v>
      </c>
      <c r="BP49" s="40">
        <f t="shared" si="41"/>
        <v>395.6460581877652</v>
      </c>
      <c r="BQ49" s="40">
        <f t="shared" si="42"/>
        <v>1.088485453058695</v>
      </c>
      <c r="BR49" s="40">
        <f t="shared" si="43"/>
        <v>394.0283891599315</v>
      </c>
      <c r="BS49" s="40">
        <f t="shared" si="81"/>
        <v>1.4929027100171197</v>
      </c>
      <c r="BT49" s="40">
        <f t="shared" si="105"/>
        <v>396.45217129892967</v>
      </c>
      <c r="BU49" s="40">
        <f t="shared" si="45"/>
        <v>0.8869571752675824</v>
      </c>
      <c r="BV49" s="75">
        <f t="shared" si="46"/>
        <v>0.09411017857142857</v>
      </c>
      <c r="BW49" s="75">
        <f t="shared" si="47"/>
        <v>0.020743855357142856</v>
      </c>
      <c r="BX49" s="40">
        <f t="shared" si="8"/>
        <v>2.140662724151649</v>
      </c>
      <c r="BY49" s="40">
        <f t="shared" si="48"/>
        <v>1.0255061468089097</v>
      </c>
      <c r="BZ49" s="61"/>
      <c r="CA49" s="73">
        <f t="shared" si="49"/>
        <v>0.16064902066176823</v>
      </c>
      <c r="CB49" s="84"/>
      <c r="CC49" s="73">
        <f t="shared" si="50"/>
        <v>6.792356108113245</v>
      </c>
      <c r="CD49" s="73">
        <f t="shared" si="91"/>
        <v>1</v>
      </c>
      <c r="CE49" s="73">
        <f t="shared" si="92"/>
        <v>1</v>
      </c>
      <c r="CF49" s="73">
        <f t="shared" si="93"/>
        <v>1</v>
      </c>
      <c r="CG49" s="73">
        <f t="shared" si="54"/>
        <v>6.792356108113245</v>
      </c>
      <c r="CH49" s="73">
        <f t="shared" si="55"/>
        <v>6.792356108113245</v>
      </c>
      <c r="CI49" s="73">
        <f t="shared" si="56"/>
        <v>6.792356108113245</v>
      </c>
      <c r="CJ49" s="76">
        <f t="shared" si="57"/>
        <v>0</v>
      </c>
      <c r="CK49" s="76">
        <f t="shared" si="82"/>
        <v>0</v>
      </c>
      <c r="CL49" s="76">
        <f t="shared" si="83"/>
        <v>0</v>
      </c>
      <c r="CM49" s="76">
        <f t="shared" si="84"/>
        <v>0</v>
      </c>
      <c r="CN49" s="40">
        <f t="shared" si="9"/>
        <v>5.773502691896258</v>
      </c>
      <c r="CO49" s="40">
        <f t="shared" si="94"/>
        <v>8.543630601104212</v>
      </c>
      <c r="CP49" s="40">
        <f t="shared" si="95"/>
        <v>8.274553288604373</v>
      </c>
      <c r="CQ49" s="40">
        <f t="shared" si="96"/>
        <v>8.46316018104128</v>
      </c>
      <c r="CR49" s="40">
        <f t="shared" si="97"/>
        <v>6.792356108113245</v>
      </c>
      <c r="CS49" s="40">
        <f t="shared" si="87"/>
        <v>6.792356108113245</v>
      </c>
      <c r="CT49" s="40">
        <f t="shared" si="61"/>
        <v>6.792356108113245</v>
      </c>
      <c r="CU49" s="40">
        <f t="shared" si="99"/>
        <v>8.490445135141556</v>
      </c>
      <c r="CV49" s="40">
        <f t="shared" si="100"/>
        <v>8.490445135141556</v>
      </c>
      <c r="CW49" s="40">
        <f t="shared" si="101"/>
        <v>8.490445135141556</v>
      </c>
      <c r="CX49" s="40">
        <f t="shared" si="88"/>
        <v>5.773502691896258</v>
      </c>
      <c r="CY49" s="40">
        <f t="shared" si="89"/>
        <v>5.773502691896258</v>
      </c>
      <c r="CZ49" s="40">
        <f t="shared" si="98"/>
        <v>5.773502691896258</v>
      </c>
      <c r="DA49" s="40">
        <f t="shared" si="66"/>
        <v>0</v>
      </c>
    </row>
    <row r="50" spans="1:105" ht="12.75">
      <c r="A50" s="61" t="s">
        <v>37</v>
      </c>
      <c r="B50" s="61" t="s">
        <v>38</v>
      </c>
      <c r="C50" s="61">
        <v>0</v>
      </c>
      <c r="D50" s="61" t="s">
        <v>303</v>
      </c>
      <c r="E50" s="61">
        <v>1000</v>
      </c>
      <c r="F50" s="61">
        <v>0.6</v>
      </c>
      <c r="G50" s="61" t="s">
        <v>319</v>
      </c>
      <c r="H50" s="120"/>
      <c r="I50" s="61">
        <v>1</v>
      </c>
      <c r="J50" s="61" t="s">
        <v>286</v>
      </c>
      <c r="K50" s="61">
        <v>6</v>
      </c>
      <c r="L50" s="61">
        <v>72</v>
      </c>
      <c r="M50" s="61" t="s">
        <v>286</v>
      </c>
      <c r="N50" s="61">
        <v>6</v>
      </c>
      <c r="O50" s="61">
        <v>72</v>
      </c>
      <c r="P50" s="61" t="s">
        <v>138</v>
      </c>
      <c r="Q50" s="120"/>
      <c r="R50" s="120"/>
      <c r="S50" s="120">
        <v>30</v>
      </c>
      <c r="T50" s="120">
        <v>0.8</v>
      </c>
      <c r="U50" s="72">
        <f t="shared" si="90"/>
        <v>0</v>
      </c>
      <c r="V50" s="72">
        <f t="shared" si="14"/>
        <v>0</v>
      </c>
      <c r="W50" s="73">
        <f t="shared" si="15"/>
        <v>7.794228634059947</v>
      </c>
      <c r="X50" s="72">
        <f t="shared" si="16"/>
        <v>0</v>
      </c>
      <c r="Y50" s="72">
        <f t="shared" si="17"/>
        <v>0</v>
      </c>
      <c r="Z50" s="72">
        <f t="shared" si="18"/>
        <v>0</v>
      </c>
      <c r="AA50" s="72">
        <f t="shared" si="19"/>
        <v>0</v>
      </c>
      <c r="AB50" s="72">
        <f t="shared" si="20"/>
        <v>0</v>
      </c>
      <c r="AC50" s="72">
        <f t="shared" si="21"/>
        <v>0</v>
      </c>
      <c r="AD50" s="74">
        <f t="shared" si="22"/>
        <v>55.340289955038116</v>
      </c>
      <c r="AE50" s="73">
        <f t="shared" si="67"/>
        <v>7.733672555244757</v>
      </c>
      <c r="AF50" s="40">
        <f t="shared" si="68"/>
        <v>7.3403227822642805</v>
      </c>
      <c r="AG50" s="40">
        <f t="shared" si="104"/>
        <v>3.1784530007092684</v>
      </c>
      <c r="AH50" s="40">
        <f t="shared" si="24"/>
        <v>6.383247843754361</v>
      </c>
      <c r="AI50" s="260">
        <f t="shared" si="25"/>
        <v>1.5958119609385903</v>
      </c>
      <c r="AJ50" s="40">
        <f t="shared" si="5"/>
        <v>4.7338738756876095</v>
      </c>
      <c r="AK50" s="40">
        <f t="shared" si="6"/>
        <v>-6.115564416382258</v>
      </c>
      <c r="AL50" s="261">
        <f t="shared" si="26"/>
        <v>7.733672478314458</v>
      </c>
      <c r="AM50" s="40">
        <f t="shared" si="27"/>
        <v>0</v>
      </c>
      <c r="AN50" s="40">
        <f t="shared" si="28"/>
        <v>0</v>
      </c>
      <c r="AO50" s="40">
        <f t="shared" si="29"/>
        <v>0</v>
      </c>
      <c r="AP50" s="40">
        <f t="shared" si="30"/>
        <v>0</v>
      </c>
      <c r="AQ50" s="40">
        <f t="shared" si="31"/>
        <v>0</v>
      </c>
      <c r="AR50" s="40">
        <f t="shared" si="32"/>
        <v>0</v>
      </c>
      <c r="AS50" s="40">
        <f t="shared" si="33"/>
        <v>4.7338738756876095</v>
      </c>
      <c r="AT50" s="40">
        <f t="shared" si="34"/>
        <v>-6.115564416382258</v>
      </c>
      <c r="AU50" s="40">
        <f t="shared" si="35"/>
        <v>7.733672478314458</v>
      </c>
      <c r="AV50" s="73">
        <f t="shared" si="69"/>
        <v>229.11928223881054</v>
      </c>
      <c r="AW50" s="73">
        <f t="shared" si="70"/>
        <v>3.4891985853876766</v>
      </c>
      <c r="AX50" s="73">
        <f t="shared" si="71"/>
        <v>-111.46331965194432</v>
      </c>
      <c r="AY50" s="73">
        <f t="shared" si="72"/>
        <v>-193.83702628049397</v>
      </c>
      <c r="AZ50" s="73">
        <f t="shared" si="73"/>
        <v>-113.07469484600333</v>
      </c>
      <c r="BA50" s="73">
        <f t="shared" si="74"/>
        <v>200.29934328919325</v>
      </c>
      <c r="BB50" s="73">
        <f t="shared" si="75"/>
        <v>229.14584875226518</v>
      </c>
      <c r="BC50" s="73">
        <f t="shared" si="76"/>
        <v>223.59978619197386</v>
      </c>
      <c r="BD50" s="73">
        <f t="shared" si="77"/>
        <v>230.01242039637523</v>
      </c>
      <c r="BE50" s="73">
        <f t="shared" si="36"/>
        <v>393.6167523499183</v>
      </c>
      <c r="BF50" s="73">
        <f t="shared" si="37"/>
        <v>394.1396635046885</v>
      </c>
      <c r="BG50" s="73">
        <f t="shared" si="38"/>
        <v>394.7542919481117</v>
      </c>
      <c r="BH50" s="73">
        <f t="shared" si="39"/>
        <v>0.7769369043958296</v>
      </c>
      <c r="BI50" s="73">
        <f t="shared" si="102"/>
        <v>3.1784524384908526</v>
      </c>
      <c r="BJ50" s="73">
        <f t="shared" si="103"/>
        <v>0.40170037539655296</v>
      </c>
      <c r="BK50" s="40">
        <f t="shared" si="78"/>
        <v>7.794228634059947</v>
      </c>
      <c r="BL50" s="40">
        <f t="shared" si="79"/>
        <v>7.794228634059947</v>
      </c>
      <c r="BM50" s="40">
        <f t="shared" si="80"/>
        <v>388.18285121805496</v>
      </c>
      <c r="BN50" s="40">
        <f t="shared" si="40"/>
        <v>2.954287195486259</v>
      </c>
      <c r="BO50" s="40">
        <f t="shared" si="7"/>
        <v>7.794228634059947</v>
      </c>
      <c r="BP50" s="40">
        <f t="shared" si="41"/>
        <v>395.6460581877652</v>
      </c>
      <c r="BQ50" s="40">
        <f t="shared" si="42"/>
        <v>1.088485453058695</v>
      </c>
      <c r="BR50" s="40">
        <f t="shared" si="43"/>
        <v>394.0283891599315</v>
      </c>
      <c r="BS50" s="40">
        <f t="shared" si="81"/>
        <v>1.4929027100171197</v>
      </c>
      <c r="BT50" s="40">
        <f t="shared" si="105"/>
        <v>396.45217129892967</v>
      </c>
      <c r="BU50" s="40">
        <f t="shared" si="45"/>
        <v>0.8869571752675824</v>
      </c>
      <c r="BV50" s="75">
        <f t="shared" si="46"/>
        <v>0.09411017857142857</v>
      </c>
      <c r="BW50" s="75">
        <f t="shared" si="47"/>
        <v>0.020743855357142856</v>
      </c>
      <c r="BX50" s="40">
        <f t="shared" si="8"/>
        <v>2.140662724151649</v>
      </c>
      <c r="BY50" s="40">
        <f t="shared" si="48"/>
        <v>1.0255061468089097</v>
      </c>
      <c r="BZ50" s="61"/>
      <c r="CA50" s="73">
        <f t="shared" si="49"/>
        <v>0.16064902066176823</v>
      </c>
      <c r="CB50" s="84"/>
      <c r="CC50" s="73">
        <f t="shared" si="50"/>
        <v>0</v>
      </c>
      <c r="CD50" s="73">
        <f t="shared" si="91"/>
        <v>1</v>
      </c>
      <c r="CE50" s="73">
        <f t="shared" si="92"/>
        <v>0</v>
      </c>
      <c r="CF50" s="73">
        <f t="shared" si="93"/>
        <v>0</v>
      </c>
      <c r="CG50" s="73">
        <f t="shared" si="54"/>
        <v>0</v>
      </c>
      <c r="CH50" s="73">
        <f t="shared" si="55"/>
        <v>0</v>
      </c>
      <c r="CI50" s="73">
        <f t="shared" si="56"/>
        <v>0</v>
      </c>
      <c r="CJ50" s="76">
        <f t="shared" si="57"/>
        <v>0</v>
      </c>
      <c r="CK50" s="76">
        <f t="shared" si="82"/>
        <v>0</v>
      </c>
      <c r="CL50" s="76">
        <f t="shared" si="83"/>
        <v>0</v>
      </c>
      <c r="CM50" s="76">
        <f t="shared" si="84"/>
        <v>0</v>
      </c>
      <c r="CN50" s="40">
        <f t="shared" si="9"/>
        <v>4.676537180435968</v>
      </c>
      <c r="CO50" s="40">
        <f t="shared" si="94"/>
        <v>7.733672478314458</v>
      </c>
      <c r="CP50" s="40">
        <f t="shared" si="95"/>
        <v>0</v>
      </c>
      <c r="CQ50" s="40">
        <f t="shared" si="96"/>
        <v>0</v>
      </c>
      <c r="CR50" s="40">
        <f t="shared" si="97"/>
        <v>7.794228634059947</v>
      </c>
      <c r="CS50" s="40">
        <f t="shared" si="87"/>
        <v>0</v>
      </c>
      <c r="CT50" s="40">
        <f t="shared" si="61"/>
        <v>0</v>
      </c>
      <c r="CU50" s="40">
        <f t="shared" si="99"/>
        <v>7.794228634059947</v>
      </c>
      <c r="CV50" s="40">
        <f t="shared" si="100"/>
        <v>0</v>
      </c>
      <c r="CW50" s="40">
        <f t="shared" si="101"/>
        <v>0</v>
      </c>
      <c r="CX50" s="40">
        <f t="shared" si="88"/>
        <v>4.676537180435968</v>
      </c>
      <c r="CY50" s="40">
        <f t="shared" si="89"/>
        <v>0</v>
      </c>
      <c r="CZ50" s="40">
        <f t="shared" si="98"/>
        <v>0</v>
      </c>
      <c r="DA50" s="40">
        <f t="shared" si="66"/>
        <v>0</v>
      </c>
    </row>
    <row r="51" spans="1:105" ht="12.75">
      <c r="A51" s="61" t="s">
        <v>35</v>
      </c>
      <c r="B51" s="61" t="s">
        <v>39</v>
      </c>
      <c r="C51" s="61">
        <v>20</v>
      </c>
      <c r="D51" s="61"/>
      <c r="E51" s="61"/>
      <c r="F51" s="61"/>
      <c r="G51" s="61"/>
      <c r="H51" s="120"/>
      <c r="I51" s="61">
        <v>1</v>
      </c>
      <c r="J51" s="61" t="s">
        <v>292</v>
      </c>
      <c r="K51" s="61">
        <v>70</v>
      </c>
      <c r="L51" s="61">
        <v>220</v>
      </c>
      <c r="M51" s="61" t="s">
        <v>292</v>
      </c>
      <c r="N51" s="61">
        <v>35</v>
      </c>
      <c r="O51" s="61">
        <v>150</v>
      </c>
      <c r="P51" s="61" t="s">
        <v>139</v>
      </c>
      <c r="Q51" s="120"/>
      <c r="R51" s="120"/>
      <c r="S51" s="120">
        <v>30</v>
      </c>
      <c r="T51" s="120">
        <v>0.8</v>
      </c>
      <c r="U51" s="72">
        <f t="shared" si="90"/>
        <v>0.008451428571428572</v>
      </c>
      <c r="V51" s="72">
        <f t="shared" si="14"/>
        <v>0.016902857142857143</v>
      </c>
      <c r="W51" s="73">
        <f t="shared" si="15"/>
        <v>0</v>
      </c>
      <c r="X51" s="72">
        <f t="shared" si="16"/>
        <v>0.008903276585245284</v>
      </c>
      <c r="Y51" s="72">
        <f t="shared" si="17"/>
        <v>0.00920731392187291</v>
      </c>
      <c r="Z51" s="72">
        <f t="shared" si="18"/>
        <v>0.00890324551856742</v>
      </c>
      <c r="AA51" s="72">
        <f t="shared" si="19"/>
        <v>0.017766899570088507</v>
      </c>
      <c r="AB51" s="72">
        <f t="shared" si="20"/>
        <v>0.003211542857142857</v>
      </c>
      <c r="AC51" s="72">
        <f t="shared" si="21"/>
        <v>0.0016902857142857145</v>
      </c>
      <c r="AD51" s="74">
        <f t="shared" si="22"/>
        <v>169.095330418172</v>
      </c>
      <c r="AE51" s="73">
        <f t="shared" si="67"/>
        <v>76.22818752093012</v>
      </c>
      <c r="AF51" s="40">
        <f t="shared" si="68"/>
        <v>8.202580145374611</v>
      </c>
      <c r="AG51" s="40">
        <f t="shared" si="104"/>
        <v>3.551821391236133</v>
      </c>
      <c r="AH51" s="40">
        <f t="shared" si="24"/>
        <v>6.659235808248752</v>
      </c>
      <c r="AI51" s="260">
        <f t="shared" si="25"/>
        <v>1.664808952062188</v>
      </c>
      <c r="AJ51" s="40">
        <f t="shared" si="5"/>
        <v>35.807228679230896</v>
      </c>
      <c r="AK51" s="40">
        <f t="shared" si="6"/>
        <v>-16.568588903512456</v>
      </c>
      <c r="AL51" s="261">
        <f t="shared" si="26"/>
        <v>39.454730564791994</v>
      </c>
      <c r="AM51" s="40">
        <f t="shared" si="27"/>
        <v>-62.85014154339784</v>
      </c>
      <c r="AN51" s="40">
        <f t="shared" si="28"/>
        <v>-43.13461826240754</v>
      </c>
      <c r="AO51" s="40">
        <f t="shared" si="29"/>
        <v>76.22818104001148</v>
      </c>
      <c r="AP51" s="40">
        <f t="shared" si="30"/>
        <v>-2.3867216396175417</v>
      </c>
      <c r="AQ51" s="40">
        <f t="shared" si="31"/>
        <v>39.37695123273051</v>
      </c>
      <c r="AR51" s="40">
        <f t="shared" si="32"/>
        <v>39.44921708437134</v>
      </c>
      <c r="AS51" s="40">
        <f t="shared" si="33"/>
        <v>-29.429634503784484</v>
      </c>
      <c r="AT51" s="40">
        <f t="shared" si="34"/>
        <v>-20.326255933189486</v>
      </c>
      <c r="AU51" s="40">
        <f t="shared" si="35"/>
        <v>35.76674527110152</v>
      </c>
      <c r="AV51" s="73">
        <f t="shared" si="69"/>
        <v>230.2177129315829</v>
      </c>
      <c r="AW51" s="73">
        <f t="shared" si="70"/>
        <v>3.098366491791705</v>
      </c>
      <c r="AX51" s="73">
        <f t="shared" si="71"/>
        <v>-110.54075585166774</v>
      </c>
      <c r="AY51" s="73">
        <f t="shared" si="72"/>
        <v>-193.37204584222394</v>
      </c>
      <c r="AZ51" s="73">
        <f t="shared" si="73"/>
        <v>-112.14871450342473</v>
      </c>
      <c r="BA51" s="73">
        <f t="shared" si="74"/>
        <v>200.42708224107704</v>
      </c>
      <c r="BB51" s="73">
        <f t="shared" si="75"/>
        <v>230.23856154512032</v>
      </c>
      <c r="BC51" s="73">
        <f t="shared" si="76"/>
        <v>222.73752898302783</v>
      </c>
      <c r="BD51" s="73">
        <f t="shared" si="77"/>
        <v>229.67008830155078</v>
      </c>
      <c r="BE51" s="73">
        <f t="shared" si="36"/>
        <v>393.34076443994934</v>
      </c>
      <c r="BF51" s="73">
        <f t="shared" si="37"/>
        <v>393.80241087402425</v>
      </c>
      <c r="BG51" s="73">
        <f t="shared" si="38"/>
        <v>395.1624889762091</v>
      </c>
      <c r="BH51" s="73">
        <f t="shared" si="39"/>
        <v>0.3037783855694331</v>
      </c>
      <c r="BI51" s="73">
        <f t="shared" si="102"/>
        <v>3.5518207622626186</v>
      </c>
      <c r="BJ51" s="73">
        <f t="shared" si="103"/>
        <v>0.5499345207209143</v>
      </c>
      <c r="BK51" s="40">
        <f t="shared" si="78"/>
        <v>159.3486742963367</v>
      </c>
      <c r="BL51" s="40">
        <f t="shared" si="79"/>
        <v>159.3486742963367</v>
      </c>
      <c r="BM51" s="40">
        <f t="shared" si="80"/>
        <v>387.08738761091206</v>
      </c>
      <c r="BN51" s="40">
        <f t="shared" si="40"/>
        <v>3.228153097271985</v>
      </c>
      <c r="BO51" s="40">
        <f t="shared" si="7"/>
        <v>79.67433714816835</v>
      </c>
      <c r="BP51" s="40">
        <f t="shared" si="41"/>
        <v>396.1250957234795</v>
      </c>
      <c r="BQ51" s="40">
        <f t="shared" si="42"/>
        <v>0.9687260691301276</v>
      </c>
      <c r="BR51" s="40">
        <f t="shared" si="43"/>
        <v>393.5333467313601</v>
      </c>
      <c r="BS51" s="40">
        <f t="shared" si="81"/>
        <v>1.6166633171599756</v>
      </c>
      <c r="BT51" s="40">
        <f t="shared" si="105"/>
        <v>396.48196258464395</v>
      </c>
      <c r="BU51" s="40">
        <f t="shared" si="45"/>
        <v>0.879509353839012</v>
      </c>
      <c r="BV51" s="75">
        <f t="shared" si="46"/>
        <v>0.047099107142857144</v>
      </c>
      <c r="BW51" s="75">
        <f t="shared" si="47"/>
        <v>0.018409148214285714</v>
      </c>
      <c r="BX51" s="40">
        <f t="shared" si="8"/>
        <v>3.78577266464298</v>
      </c>
      <c r="BY51" s="40">
        <f t="shared" si="48"/>
        <v>7.86460424942031</v>
      </c>
      <c r="BZ51" s="61"/>
      <c r="CA51" s="73">
        <f t="shared" si="49"/>
        <v>3.020944350477652</v>
      </c>
      <c r="CB51" s="84"/>
      <c r="CC51" s="73">
        <f t="shared" si="50"/>
        <v>0</v>
      </c>
      <c r="CD51" s="73">
        <f t="shared" si="91"/>
        <v>0</v>
      </c>
      <c r="CE51" s="73">
        <f t="shared" si="92"/>
        <v>0</v>
      </c>
      <c r="CF51" s="73">
        <f t="shared" si="93"/>
        <v>0</v>
      </c>
      <c r="CG51" s="73">
        <f t="shared" si="54"/>
        <v>0</v>
      </c>
      <c r="CH51" s="73">
        <f t="shared" si="55"/>
        <v>0</v>
      </c>
      <c r="CI51" s="73">
        <f t="shared" si="56"/>
        <v>0</v>
      </c>
      <c r="CJ51" s="76">
        <f t="shared" si="57"/>
        <v>0</v>
      </c>
      <c r="CK51" s="76">
        <f t="shared" si="82"/>
        <v>60</v>
      </c>
      <c r="CL51" s="76">
        <f t="shared" si="83"/>
        <v>0</v>
      </c>
      <c r="CM51" s="76">
        <f t="shared" si="84"/>
        <v>0</v>
      </c>
      <c r="CN51" s="40">
        <f t="shared" si="9"/>
        <v>143.41380686670303</v>
      </c>
      <c r="CO51" s="40">
        <f t="shared" si="94"/>
        <v>39.454730564791994</v>
      </c>
      <c r="CP51" s="40">
        <f t="shared" si="95"/>
        <v>76.22818104001148</v>
      </c>
      <c r="CQ51" s="40">
        <f t="shared" si="96"/>
        <v>39.44921708437134</v>
      </c>
      <c r="CR51" s="40">
        <f t="shared" si="97"/>
        <v>39.837168574084174</v>
      </c>
      <c r="CS51" s="40">
        <f t="shared" si="87"/>
        <v>79.67433714816835</v>
      </c>
      <c r="CT51" s="40">
        <f t="shared" si="61"/>
        <v>39.837168574084174</v>
      </c>
      <c r="CU51" s="40">
        <f t="shared" si="99"/>
        <v>39.837168574084174</v>
      </c>
      <c r="CV51" s="40">
        <f t="shared" si="100"/>
        <v>79.67433714816835</v>
      </c>
      <c r="CW51" s="40">
        <f t="shared" si="101"/>
        <v>39.837168574084174</v>
      </c>
      <c r="CX51" s="40">
        <f t="shared" si="88"/>
        <v>35.85345171667576</v>
      </c>
      <c r="CY51" s="40">
        <f t="shared" si="89"/>
        <v>71.70690343335151</v>
      </c>
      <c r="CZ51" s="40">
        <f t="shared" si="98"/>
        <v>35.85345171667576</v>
      </c>
      <c r="DA51" s="40">
        <f t="shared" si="66"/>
        <v>81.21637481740348</v>
      </c>
    </row>
    <row r="52" spans="1:105" ht="12.75">
      <c r="A52" s="61" t="s">
        <v>39</v>
      </c>
      <c r="B52" s="61" t="s">
        <v>40</v>
      </c>
      <c r="C52" s="61">
        <v>4</v>
      </c>
      <c r="D52" s="61" t="s">
        <v>304</v>
      </c>
      <c r="E52" s="61">
        <v>8280</v>
      </c>
      <c r="F52" s="61">
        <v>0.9</v>
      </c>
      <c r="G52" s="61" t="s">
        <v>320</v>
      </c>
      <c r="H52" s="120"/>
      <c r="I52" s="61">
        <v>1</v>
      </c>
      <c r="J52" s="61" t="s">
        <v>292</v>
      </c>
      <c r="K52" s="61">
        <v>16</v>
      </c>
      <c r="L52" s="61">
        <v>97</v>
      </c>
      <c r="M52" s="61" t="s">
        <v>292</v>
      </c>
      <c r="N52" s="61">
        <v>16</v>
      </c>
      <c r="O52" s="61">
        <v>97</v>
      </c>
      <c r="P52" s="61" t="s">
        <v>139</v>
      </c>
      <c r="Q52" s="120"/>
      <c r="R52" s="120"/>
      <c r="S52" s="120">
        <v>30</v>
      </c>
      <c r="T52" s="120">
        <v>0.8</v>
      </c>
      <c r="U52" s="72">
        <f t="shared" si="90"/>
        <v>0.0073950000000000005</v>
      </c>
      <c r="V52" s="72">
        <f t="shared" si="14"/>
        <v>0.0073950000000000005</v>
      </c>
      <c r="W52" s="73">
        <f t="shared" si="15"/>
        <v>39.837168574084174</v>
      </c>
      <c r="X52" s="72">
        <f t="shared" si="16"/>
        <v>0.007693018500000001</v>
      </c>
      <c r="Y52" s="72">
        <f t="shared" si="17"/>
        <v>0.008165435997617132</v>
      </c>
      <c r="Z52" s="72">
        <f t="shared" si="18"/>
        <v>0.007693018500000001</v>
      </c>
      <c r="AA52" s="72">
        <f t="shared" si="19"/>
        <v>0.008165435997617132</v>
      </c>
      <c r="AB52" s="72">
        <f t="shared" si="20"/>
        <v>0.0007395000000000001</v>
      </c>
      <c r="AC52" s="72">
        <f t="shared" si="21"/>
        <v>0.00036975000000000007</v>
      </c>
      <c r="AD52" s="74">
        <f t="shared" si="22"/>
        <v>74.55566841164857</v>
      </c>
      <c r="AE52" s="73">
        <f t="shared" si="67"/>
        <v>38.321845720089506</v>
      </c>
      <c r="AF52" s="40">
        <f t="shared" si="68"/>
        <v>8.784478896278301</v>
      </c>
      <c r="AG52" s="40">
        <f t="shared" si="104"/>
        <v>3.8037909415926476</v>
      </c>
      <c r="AH52" s="40">
        <f t="shared" si="24"/>
        <v>6.968960927353976</v>
      </c>
      <c r="AI52" s="260">
        <f t="shared" si="25"/>
        <v>1.742240231838494</v>
      </c>
      <c r="AJ52" s="40">
        <f aca="true" t="shared" si="106" ref="AJ52:AJ83">IF($B52="","",I52*IF($G$14="Sí",IF(OR($D52="R",$D52="RST"),IF($D$2="Sí",IF($G52="Motor",$D$6*$W52/(BB52^2),$W52/$D$6)*($AV52*$F52+$AW52*SIN(ACOS($F52))),$W52*$F52))+SUMIF(INICIO,$B52,R_RE),0))</f>
        <v>0</v>
      </c>
      <c r="AK52" s="40">
        <f aca="true" t="shared" si="107" ref="AK52:AK83">IF(B52="","",I52*IF($G$14="Sí",IF(OR($D52="R",$D52="RST"),IF($D$2="Sí",IF($G52="Motor",$D$6*$W52/(BB52^2),$W52/$D$6)*($AW52*$F52-$AV52*SIN(ACOS($F52))),-$W52*SIN(ACOS($F52))))+SUMIF(INICIO,$B52,R_IM),0))</f>
        <v>0</v>
      </c>
      <c r="AL52" s="261">
        <f t="shared" si="26"/>
        <v>0</v>
      </c>
      <c r="AM52" s="40">
        <f t="shared" si="27"/>
        <v>-31.595654502311366</v>
      </c>
      <c r="AN52" s="40">
        <f t="shared" si="28"/>
        <v>-21.685905438685516</v>
      </c>
      <c r="AO52" s="40">
        <f t="shared" si="29"/>
        <v>38.32184596447617</v>
      </c>
      <c r="AP52" s="40">
        <f t="shared" si="30"/>
        <v>0</v>
      </c>
      <c r="AQ52" s="40">
        <f t="shared" si="31"/>
        <v>0</v>
      </c>
      <c r="AR52" s="40">
        <f t="shared" si="32"/>
        <v>0</v>
      </c>
      <c r="AS52" s="40">
        <f t="shared" si="33"/>
        <v>-31.595654502311366</v>
      </c>
      <c r="AT52" s="40">
        <f t="shared" si="34"/>
        <v>-21.685905438685516</v>
      </c>
      <c r="AU52" s="40">
        <f t="shared" si="35"/>
        <v>38.32184596447617</v>
      </c>
      <c r="AV52" s="73">
        <f t="shared" si="69"/>
        <v>230.4676868626884</v>
      </c>
      <c r="AW52" s="73">
        <f t="shared" si="70"/>
        <v>3.2871238579538984</v>
      </c>
      <c r="AX52" s="73">
        <f t="shared" si="71"/>
        <v>-110.04882635299272</v>
      </c>
      <c r="AY52" s="73">
        <f t="shared" si="72"/>
        <v>-192.98284861664732</v>
      </c>
      <c r="AZ52" s="73">
        <f t="shared" si="73"/>
        <v>-111.89874057231924</v>
      </c>
      <c r="BA52" s="73">
        <f t="shared" si="74"/>
        <v>200.61583960723925</v>
      </c>
      <c r="BB52" s="73">
        <f t="shared" si="75"/>
        <v>230.49112753226692</v>
      </c>
      <c r="BC52" s="73">
        <f t="shared" si="76"/>
        <v>222.15563022770087</v>
      </c>
      <c r="BD52" s="73">
        <f t="shared" si="77"/>
        <v>229.7129583697636</v>
      </c>
      <c r="BE52" s="73">
        <f t="shared" si="36"/>
        <v>393.0310393184562</v>
      </c>
      <c r="BF52" s="73">
        <f t="shared" si="37"/>
        <v>393.6030354991983</v>
      </c>
      <c r="BG52" s="73">
        <f t="shared" si="38"/>
        <v>395.1624889762091</v>
      </c>
      <c r="BH52" s="73">
        <f t="shared" si="39"/>
        <v>0.19441410506900997</v>
      </c>
      <c r="BI52" s="73">
        <f t="shared" si="102"/>
        <v>3.803790314534465</v>
      </c>
      <c r="BJ52" s="73">
        <f t="shared" si="103"/>
        <v>0.5313712366537708</v>
      </c>
      <c r="BK52" s="40">
        <f t="shared" si="78"/>
        <v>39.837168574084174</v>
      </c>
      <c r="BL52" s="40">
        <f t="shared" si="79"/>
        <v>39.837168574084174</v>
      </c>
      <c r="BM52" s="40">
        <f t="shared" si="80"/>
        <v>386.62815811091207</v>
      </c>
      <c r="BN52" s="40">
        <f t="shared" si="40"/>
        <v>3.342960472271983</v>
      </c>
      <c r="BO52" s="40">
        <f t="shared" si="7"/>
        <v>39.837168574084174</v>
      </c>
      <c r="BP52" s="40">
        <f t="shared" si="41"/>
        <v>396.1250957234795</v>
      </c>
      <c r="BQ52" s="40">
        <f t="shared" si="42"/>
        <v>0.9687260691301276</v>
      </c>
      <c r="BR52" s="40">
        <f t="shared" si="43"/>
        <v>393.0741172313601</v>
      </c>
      <c r="BS52" s="40">
        <f t="shared" si="81"/>
        <v>1.7314706921599736</v>
      </c>
      <c r="BT52" s="40">
        <f t="shared" si="105"/>
        <v>396.48196258464395</v>
      </c>
      <c r="BU52" s="40">
        <f t="shared" si="45"/>
        <v>0.879509353839012</v>
      </c>
      <c r="BV52" s="75">
        <f t="shared" si="46"/>
        <v>0.05449410714285714</v>
      </c>
      <c r="BW52" s="75">
        <f t="shared" si="47"/>
        <v>0.019148648214285715</v>
      </c>
      <c r="BX52" s="40">
        <f t="shared" si="8"/>
        <v>3.347517765201628</v>
      </c>
      <c r="BY52" s="40">
        <f t="shared" si="48"/>
        <v>1.797623828438928</v>
      </c>
      <c r="BZ52" s="61"/>
      <c r="CA52" s="73">
        <f t="shared" si="49"/>
        <v>0.2018598245992945</v>
      </c>
      <c r="CB52" s="84"/>
      <c r="CC52" s="73">
        <f t="shared" si="50"/>
        <v>0</v>
      </c>
      <c r="CD52" s="73">
        <f t="shared" si="91"/>
        <v>0</v>
      </c>
      <c r="CE52" s="73">
        <f t="shared" si="92"/>
        <v>1</v>
      </c>
      <c r="CF52" s="73">
        <f t="shared" si="93"/>
        <v>0</v>
      </c>
      <c r="CG52" s="73">
        <f t="shared" si="54"/>
        <v>0</v>
      </c>
      <c r="CH52" s="73">
        <f t="shared" si="55"/>
        <v>0</v>
      </c>
      <c r="CI52" s="73">
        <f t="shared" si="56"/>
        <v>0</v>
      </c>
      <c r="CJ52" s="76">
        <f t="shared" si="57"/>
        <v>0</v>
      </c>
      <c r="CK52" s="76">
        <f t="shared" si="82"/>
        <v>12</v>
      </c>
      <c r="CL52" s="76">
        <f t="shared" si="83"/>
        <v>0</v>
      </c>
      <c r="CM52" s="76">
        <f t="shared" si="84"/>
        <v>0</v>
      </c>
      <c r="CN52" s="40">
        <f t="shared" si="9"/>
        <v>35.85345171667576</v>
      </c>
      <c r="CO52" s="40">
        <f t="shared" si="94"/>
        <v>0</v>
      </c>
      <c r="CP52" s="40">
        <f t="shared" si="95"/>
        <v>38.32184596447617</v>
      </c>
      <c r="CQ52" s="40">
        <f t="shared" si="96"/>
        <v>0</v>
      </c>
      <c r="CR52" s="40">
        <f t="shared" si="97"/>
        <v>0</v>
      </c>
      <c r="CS52" s="40">
        <f t="shared" si="87"/>
        <v>39.837168574084174</v>
      </c>
      <c r="CT52" s="40">
        <f t="shared" si="61"/>
        <v>0</v>
      </c>
      <c r="CU52" s="40">
        <f t="shared" si="99"/>
        <v>0</v>
      </c>
      <c r="CV52" s="40">
        <f t="shared" si="100"/>
        <v>39.837168574084174</v>
      </c>
      <c r="CW52" s="40">
        <f t="shared" si="101"/>
        <v>0</v>
      </c>
      <c r="CX52" s="40">
        <f t="shared" si="88"/>
        <v>0</v>
      </c>
      <c r="CY52" s="40">
        <f t="shared" si="89"/>
        <v>35.85345171667576</v>
      </c>
      <c r="CZ52" s="40">
        <f t="shared" si="98"/>
        <v>0</v>
      </c>
      <c r="DA52" s="40">
        <f t="shared" si="66"/>
        <v>11.991464355242407</v>
      </c>
    </row>
    <row r="53" spans="1:105" ht="12.75">
      <c r="A53" s="61" t="s">
        <v>39</v>
      </c>
      <c r="B53" s="61" t="s">
        <v>41</v>
      </c>
      <c r="C53" s="61">
        <v>20</v>
      </c>
      <c r="D53" s="61"/>
      <c r="E53" s="61"/>
      <c r="F53" s="61"/>
      <c r="G53" s="61"/>
      <c r="H53" s="120"/>
      <c r="I53" s="61">
        <v>1</v>
      </c>
      <c r="J53" s="61" t="s">
        <v>292</v>
      </c>
      <c r="K53" s="61">
        <v>70</v>
      </c>
      <c r="L53" s="61">
        <v>220</v>
      </c>
      <c r="M53" s="61" t="s">
        <v>292</v>
      </c>
      <c r="N53" s="61">
        <v>35</v>
      </c>
      <c r="O53" s="61">
        <v>150</v>
      </c>
      <c r="P53" s="61" t="s">
        <v>139</v>
      </c>
      <c r="Q53" s="120"/>
      <c r="R53" s="120"/>
      <c r="S53" s="120">
        <v>30</v>
      </c>
      <c r="T53" s="120">
        <v>0.8</v>
      </c>
      <c r="U53" s="72">
        <f t="shared" si="90"/>
        <v>0.008451428571428572</v>
      </c>
      <c r="V53" s="72">
        <f t="shared" si="14"/>
        <v>0.016902857142857143</v>
      </c>
      <c r="W53" s="73">
        <f t="shared" si="15"/>
        <v>0</v>
      </c>
      <c r="X53" s="72">
        <f t="shared" si="16"/>
        <v>0.00890327660865603</v>
      </c>
      <c r="Y53" s="72">
        <f t="shared" si="17"/>
        <v>0.008894715550350176</v>
      </c>
      <c r="Z53" s="72">
        <f t="shared" si="18"/>
        <v>0.008903245516720315</v>
      </c>
      <c r="AA53" s="72">
        <f t="shared" si="19"/>
        <v>0.017584977153224997</v>
      </c>
      <c r="AB53" s="72">
        <f t="shared" si="20"/>
        <v>0.003211542857142857</v>
      </c>
      <c r="AC53" s="72">
        <f t="shared" si="21"/>
        <v>0.0016902857142857145</v>
      </c>
      <c r="AD53" s="74">
        <f aca="true" t="shared" si="108" ref="AD53:AD86">IF(L53="","",L53*IF(S53="",1,SQRT((SUMIF(Tipo_cable,J53,Tem_máx)-S53)/((SUMIF(Tipo_cable,J53,Tem_máx)-(SUMIF(Tipo_cable,J53,Tem_amb))))))*IF(T53="",1,T53))</f>
        <v>169.095330418172</v>
      </c>
      <c r="AE53" s="73">
        <f>IF(B53="","",MAX(AL53,MAX(AO53,AR53))-CC53+1.25*CC53)</f>
        <v>39.454730564791994</v>
      </c>
      <c r="AF53" s="40">
        <f t="shared" si="68"/>
        <v>8.517431498081237</v>
      </c>
      <c r="AG53" s="40">
        <f t="shared" si="104"/>
        <v>3.6881560261660495</v>
      </c>
      <c r="AH53" s="40">
        <f t="shared" si="24"/>
        <v>7.291859944013822</v>
      </c>
      <c r="AI53" s="260">
        <f>IF(B53="","",100*AH53/$D$5)</f>
        <v>1.8229649860034556</v>
      </c>
      <c r="AJ53" s="40">
        <f t="shared" si="106"/>
        <v>35.80722968591334</v>
      </c>
      <c r="AK53" s="40">
        <f t="shared" si="107"/>
        <v>-16.56858917135112</v>
      </c>
      <c r="AL53" s="261">
        <f>IF(B53="","",SQRT(AJ53^2+AK53^2))</f>
        <v>39.454731590884855</v>
      </c>
      <c r="AM53" s="40">
        <f>IF(B53="","",I53*IF($H$14="Sí",IF(OR($D53="S",$D53="RST"),IF($D$2="Sí",($W53/$D$6)*($AX53*$F53+$AY53*SIN(ACOS($F53))),-$W53*$F53/2-SQRT(3)/2*$W53*SIN(ACOS($F53))))+SUMIF(INICIO,$B53,S_RE),0))</f>
        <v>-31.254482296258164</v>
      </c>
      <c r="AN53" s="40">
        <f>IF(B53="","",I53*IF($H$14="Sí",IF(OR($D53="S",$D53="RST"),IF($D$2="Sí",($W53/$D$6)*($AY53*$F53-$AX53*SIN(ACOS($F53))),-SQRT(3)/2*$W53*$F53+0.5*$W53*SIN(ACOS($F53))))+SUMIF(INICIO,$B53,S_IM),0))</f>
        <v>-21.448714014519922</v>
      </c>
      <c r="AO53" s="40">
        <f>IF(B53="","",SQRT(AM53^2+AN53^2))</f>
        <v>37.90633187851046</v>
      </c>
      <c r="AP53" s="40">
        <f>IF(B53="","",I53*IF($I$14="Sí",IF(OR($D53="T",$D53="RST"),IF($D$2="Sí",($W53/$D$6)*($AZ53*$F53+$BA53*SIN(ACOS($F53))),-$W53*$F53/2+SQRT(3)/2*$W53*SIN(ACOS($F53))))+SUMIF(INICIO,$B53,T_RE),0))</f>
        <v>-2.386721910185826</v>
      </c>
      <c r="AQ53" s="40">
        <f>IF(B53="","",I53*IF($I$14="Sí",IF(OR($D53="T",$D53="RST"),IF($D$2="Sí",($W53/$D$6)*($BA53*$F53-$AZ53*SIN(ACOS($F53))),SQRT(3)/2*$W53*$F53+0.5*$W53*SIN(ACOS($F53))))+SUMIF(INICIO,$B53,T_IM),0))</f>
        <v>39.37695130190372</v>
      </c>
      <c r="AR53" s="40">
        <f>IF(B53="","",SQRT(AP53^2+AQ53^2))</f>
        <v>39.44921716978752</v>
      </c>
      <c r="AS53" s="40">
        <f>IF(B53="","",AJ53+AM53+AP53)</f>
        <v>2.1660254794693516</v>
      </c>
      <c r="AT53" s="40">
        <f>IF(B53="","",AK53+AN53+AQ53)</f>
        <v>1.3596481160326803</v>
      </c>
      <c r="AU53" s="40">
        <f t="shared" si="35"/>
        <v>2.5574028578113484</v>
      </c>
      <c r="AV53" s="73">
        <f>IF(B53="","",SUMIF(FINAL,$A53,ac_R_Re)-($X53*$AJ53-$AB53*$AK53)-($AA53*$AS53-$AC53*$AT53))</f>
        <v>229.80990921211057</v>
      </c>
      <c r="AW53" s="73">
        <f>IF(B53="","",SUMIF(FINAL,$A53,ac_R_Im)-($X53*$AK53+$AB53*$AJ53)-($AA53*$AT53+$AC53*$AS53))</f>
        <v>3.1033141884859723</v>
      </c>
      <c r="AX53" s="73">
        <f>IF(B53="","",SUMIF(FINAL,$A53,ac_S_Re)-($Y53*$AM53-$AB53*$AN53)-($AA53*$AS53-$AC53*$AT53))</f>
        <v>-110.36743090104008</v>
      </c>
      <c r="AY53" s="73">
        <f>IF(B53="","",SUMIF(FINAL,$A53,ac_S_Im)-($Y53*$AN53+$AB53*$AM53)-($AA53*$AT53+$AC53*$AS53))</f>
        <v>-193.10846110575332</v>
      </c>
      <c r="AZ53" s="73">
        <f>IF(B53="","",SUMIF(FINAL,$A53,ac_T_Re)-($Z53*$AP53-$AB53*$AQ53)-($AA53*$AS53-$AC53*$AT53))</f>
        <v>-112.0367954803713</v>
      </c>
      <c r="BA53" s="73">
        <f>IF(B53="","",SUMIF(FINAL,$A53,ac_T_Im)-($Z53*$AQ53+$AB53*$AP53)-($AA53*$AT53+$AC53*$AS53))</f>
        <v>200.05659405265732</v>
      </c>
      <c r="BB53" s="73">
        <f t="shared" si="75"/>
        <v>229.83086157222436</v>
      </c>
      <c r="BC53" s="73">
        <f t="shared" si="76"/>
        <v>222.4226776979544</v>
      </c>
      <c r="BD53" s="73">
        <f t="shared" si="77"/>
        <v>229.29213760061697</v>
      </c>
      <c r="BE53" s="73">
        <f t="shared" si="36"/>
        <v>392.7081403416222</v>
      </c>
      <c r="BF53" s="73">
        <f t="shared" si="37"/>
        <v>393.16859917319795</v>
      </c>
      <c r="BG53" s="73">
        <f t="shared" si="38"/>
        <v>394.5247317448724</v>
      </c>
      <c r="BH53" s="73">
        <f t="shared" si="39"/>
        <v>0.48031765239449514</v>
      </c>
      <c r="BI53" s="73">
        <f t="shared" si="102"/>
        <v>3.688155367906496</v>
      </c>
      <c r="BJ53" s="73">
        <f t="shared" si="103"/>
        <v>0.713591974914321</v>
      </c>
      <c r="BK53" s="40">
        <f t="shared" si="78"/>
        <v>119.51150572225252</v>
      </c>
      <c r="BL53" s="40">
        <f t="shared" si="79"/>
        <v>119.51150572225252</v>
      </c>
      <c r="BM53" s="40">
        <f t="shared" si="80"/>
        <v>385.51288646805494</v>
      </c>
      <c r="BN53" s="40">
        <f t="shared" si="40"/>
        <v>3.621778382986264</v>
      </c>
      <c r="BO53" s="40">
        <f aca="true" t="shared" si="109" ref="BO53:BO86">IF(B53="","",MAX(CR53:CT53)-CC53+1.25*CC53)</f>
        <v>39.837168574084174</v>
      </c>
      <c r="BP53" s="40">
        <f t="shared" si="41"/>
        <v>395.6002620091938</v>
      </c>
      <c r="BQ53" s="40">
        <f t="shared" si="42"/>
        <v>1.099934497701554</v>
      </c>
      <c r="BR53" s="40">
        <f t="shared" si="43"/>
        <v>393.0085130170744</v>
      </c>
      <c r="BS53" s="40">
        <f t="shared" si="81"/>
        <v>1.747871745731402</v>
      </c>
      <c r="BT53" s="40">
        <f t="shared" si="105"/>
        <v>395.95712887035825</v>
      </c>
      <c r="BU53" s="40">
        <f t="shared" si="45"/>
        <v>1.0107177824104383</v>
      </c>
      <c r="BV53" s="75">
        <f t="shared" si="46"/>
        <v>0.05555053571428571</v>
      </c>
      <c r="BW53" s="75">
        <f t="shared" si="47"/>
        <v>0.021620691071428572</v>
      </c>
      <c r="BX53" s="40">
        <f aca="true" t="shared" si="110" ref="BX53:BX86">IF(B53="","",$D$6/SQRT((BV53-U53)^2+(BW53-AB53+$S$12)^2)/1000)</f>
        <v>3.347517765201628</v>
      </c>
      <c r="BY53" s="40">
        <f aca="true" t="shared" si="111" ref="BY53:BY86">IF(B53="","",SUMIF(Tipo_cable,J53,Constante_k)*K53/SQRT(IF(BZ53="",0.7,BZ53))/1000)</f>
        <v>7.86460424942031</v>
      </c>
      <c r="BZ53" s="61"/>
      <c r="CA53" s="73">
        <f t="shared" si="49"/>
        <v>3.863723205220871</v>
      </c>
      <c r="CB53" s="84"/>
      <c r="CC53" s="73">
        <f t="shared" si="50"/>
        <v>0</v>
      </c>
      <c r="CD53" s="73">
        <f t="shared" si="91"/>
        <v>0</v>
      </c>
      <c r="CE53" s="73">
        <f t="shared" si="92"/>
        <v>0</v>
      </c>
      <c r="CF53" s="73">
        <f t="shared" si="93"/>
        <v>0</v>
      </c>
      <c r="CG53" s="73">
        <f t="shared" si="54"/>
        <v>0</v>
      </c>
      <c r="CH53" s="73">
        <f t="shared" si="55"/>
        <v>0</v>
      </c>
      <c r="CI53" s="73">
        <f t="shared" si="56"/>
        <v>0</v>
      </c>
      <c r="CJ53" s="76">
        <f t="shared" si="57"/>
        <v>0</v>
      </c>
      <c r="CK53" s="76">
        <f t="shared" si="82"/>
        <v>60</v>
      </c>
      <c r="CL53" s="76">
        <f t="shared" si="83"/>
        <v>0</v>
      </c>
      <c r="CM53" s="76">
        <f t="shared" si="84"/>
        <v>0</v>
      </c>
      <c r="CN53" s="40">
        <f aca="true" t="shared" si="112" ref="CN53:CN86">IF(B53="","",I53*(W53*F53+SUMIF(INICIO,$B53,I_cosfi)))</f>
        <v>107.56035515002728</v>
      </c>
      <c r="CO53" s="40">
        <f t="shared" si="94"/>
        <v>39.454731590884855</v>
      </c>
      <c r="CP53" s="40">
        <f t="shared" si="95"/>
        <v>37.90633187851046</v>
      </c>
      <c r="CQ53" s="40">
        <f t="shared" si="96"/>
        <v>39.44921716978752</v>
      </c>
      <c r="CR53" s="40">
        <f t="shared" si="97"/>
        <v>39.837168574084174</v>
      </c>
      <c r="CS53" s="40">
        <f t="shared" si="87"/>
        <v>39.837168574084174</v>
      </c>
      <c r="CT53" s="40">
        <f t="shared" si="61"/>
        <v>39.837168574084174</v>
      </c>
      <c r="CU53" s="40">
        <f t="shared" si="99"/>
        <v>39.837168574084174</v>
      </c>
      <c r="CV53" s="40">
        <f t="shared" si="100"/>
        <v>39.837168574084174</v>
      </c>
      <c r="CW53" s="40">
        <f t="shared" si="101"/>
        <v>39.837168574084174</v>
      </c>
      <c r="CX53" s="40">
        <f t="shared" si="88"/>
        <v>35.85345171667576</v>
      </c>
      <c r="CY53" s="40">
        <f t="shared" si="89"/>
        <v>35.85345171667576</v>
      </c>
      <c r="CZ53" s="40">
        <f t="shared" si="98"/>
        <v>35.85345171667576</v>
      </c>
      <c r="DA53" s="40">
        <f>IF($X53="","",X53*AL53^2+Y53*AO53^2+Z53*AR53^2)</f>
        <v>40.495836782680854</v>
      </c>
    </row>
    <row r="54" spans="1:105" ht="12.75">
      <c r="A54" s="61" t="s">
        <v>41</v>
      </c>
      <c r="B54" s="61" t="s">
        <v>42</v>
      </c>
      <c r="C54" s="61">
        <v>4</v>
      </c>
      <c r="D54" s="61" t="s">
        <v>305</v>
      </c>
      <c r="E54" s="61">
        <v>8280</v>
      </c>
      <c r="F54" s="61">
        <v>0.9</v>
      </c>
      <c r="G54" s="61" t="s">
        <v>320</v>
      </c>
      <c r="H54" s="120"/>
      <c r="I54" s="61">
        <v>1</v>
      </c>
      <c r="J54" s="61" t="s">
        <v>292</v>
      </c>
      <c r="K54" s="61">
        <v>16</v>
      </c>
      <c r="L54" s="61">
        <v>97</v>
      </c>
      <c r="M54" s="61" t="s">
        <v>292</v>
      </c>
      <c r="N54" s="61">
        <v>16</v>
      </c>
      <c r="O54" s="61">
        <v>97</v>
      </c>
      <c r="P54" s="61" t="s">
        <v>139</v>
      </c>
      <c r="Q54" s="120"/>
      <c r="R54" s="120"/>
      <c r="S54" s="120">
        <v>30</v>
      </c>
      <c r="T54" s="120">
        <v>0.8</v>
      </c>
      <c r="U54" s="72">
        <f t="shared" si="90"/>
        <v>0.0073950000000000005</v>
      </c>
      <c r="V54" s="72">
        <f t="shared" si="14"/>
        <v>0.0073950000000000005</v>
      </c>
      <c r="W54" s="73">
        <f t="shared" si="15"/>
        <v>39.837168574084174</v>
      </c>
      <c r="X54" s="72">
        <f t="shared" si="16"/>
        <v>0.007693018500000001</v>
      </c>
      <c r="Y54" s="72">
        <f t="shared" si="17"/>
        <v>0.007693018500000001</v>
      </c>
      <c r="Z54" s="72">
        <f t="shared" si="18"/>
        <v>0.008193640484642708</v>
      </c>
      <c r="AA54" s="72">
        <f t="shared" si="19"/>
        <v>0.008193640484642708</v>
      </c>
      <c r="AB54" s="72">
        <f t="shared" si="20"/>
        <v>0.0007395000000000001</v>
      </c>
      <c r="AC54" s="72">
        <f t="shared" si="21"/>
        <v>0.00036975000000000007</v>
      </c>
      <c r="AD54" s="74">
        <f t="shared" si="108"/>
        <v>74.55566841164857</v>
      </c>
      <c r="AE54" s="73">
        <f>IF(B54="","",MAX(AL54,MAX(AO54,AR54))-CC54+1.25*CC54)</f>
        <v>39.44921716978752</v>
      </c>
      <c r="AF54" s="40">
        <f t="shared" si="68"/>
        <v>8.254927443737728</v>
      </c>
      <c r="AG54" s="40">
        <f t="shared" si="104"/>
        <v>3.5744884363371043</v>
      </c>
      <c r="AH54" s="40">
        <f t="shared" si="24"/>
        <v>7.291859944013822</v>
      </c>
      <c r="AI54" s="260">
        <f>IF(B54="","",100*AH54/$D$5)</f>
        <v>1.8229649860034556</v>
      </c>
      <c r="AJ54" s="40">
        <f t="shared" si="106"/>
        <v>0</v>
      </c>
      <c r="AK54" s="40">
        <f t="shared" si="107"/>
        <v>0</v>
      </c>
      <c r="AL54" s="261">
        <f>IF(B54="","",SQRT(AJ54^2+AK54^2))</f>
        <v>0</v>
      </c>
      <c r="AM54" s="40">
        <f>IF(B54="","",I54*IF($H$14="Sí",IF(OR($D54="S",$D54="RST"),IF($D$2="Sí",($W54/$D$6)*($AX54*$F54+$AY54*SIN(ACOS($F54))),-$W54*$F54/2-SQRT(3)/2*$W54*SIN(ACOS($F54))))+SUMIF(INICIO,$B54,S_RE),0))</f>
        <v>0</v>
      </c>
      <c r="AN54" s="40">
        <f>IF(B54="","",I54*IF($H$14="Sí",IF(OR($D54="S",$D54="RST"),IF($D$2="Sí",($W54/$D$6)*($AY54*$F54-$AX54*SIN(ACOS($F54))),-SQRT(3)/2*$W54*$F54+0.5*$W54*SIN(ACOS($F54))))+SUMIF(INICIO,$B54,S_IM),0))</f>
        <v>0</v>
      </c>
      <c r="AO54" s="40">
        <f>IF(B54="","",SQRT(AM54^2+AN54^2))</f>
        <v>0</v>
      </c>
      <c r="AP54" s="40">
        <f>IF(B54="","",I54*IF($I$14="Sí",IF(OR($D54="T",$D54="RST"),IF($D$2="Sí",($W54/$D$6)*($AZ54*$F54+$BA54*SIN(ACOS($F54))),-$W54*$F54/2+SQRT(3)/2*$W54*SIN(ACOS($F54))))+SUMIF(INICIO,$B54,T_RE),0))</f>
        <v>-2.386722387061276</v>
      </c>
      <c r="AQ54" s="40">
        <f>IF(B54="","",I54*IF($I$14="Sí",IF(OR($D54="T",$D54="RST"),IF($D$2="Sí",($W54/$D$6)*($BA54*$F54-$AZ54*SIN(ACOS($F54))),SQRT(3)/2*$W54*$F54+0.5*$W54*SIN(ACOS($F54))))+SUMIF(INICIO,$B54,T_IM),0))</f>
        <v>39.37695145698087</v>
      </c>
      <c r="AR54" s="40">
        <f>IF(B54="","",SQRT(AP54^2+AQ54^2))</f>
        <v>39.44921735343209</v>
      </c>
      <c r="AS54" s="40">
        <f>IF(B54="","",AJ54+AM54+AP54)</f>
        <v>-2.386722387061276</v>
      </c>
      <c r="AT54" s="40">
        <f>IF(B54="","",AK54+AN54+AQ54)</f>
        <v>39.37695145698087</v>
      </c>
      <c r="AU54" s="40">
        <f>IF(B54="","",SQRT(AS54^2+AT54^2))</f>
        <v>39.44921735343209</v>
      </c>
      <c r="AV54" s="73">
        <f>IF(B54="","",SUMIF(FINAL,$A54,ac_R_Re)-($X54*$AJ54-$AB54*$AK54)-($AA54*$AS54-$AC54*$AT54))</f>
        <v>229.844024785088</v>
      </c>
      <c r="AW54" s="73">
        <f>IF(B54="","",SUMIF(FINAL,$A54,ac_R_Im)-($X54*$AK54+$AB54*$AJ54)-($AA54*$AT54+$AC54*$AS54))</f>
        <v>2.781556095468859</v>
      </c>
      <c r="AX54" s="73">
        <f>IF(B54="","",SUMIF(FINAL,$A54,ac_S_Re)-($Y54*$AM54-$AB54*$AN54)-($AA54*$AS54-$AC54*$AT54))</f>
        <v>-110.33331532806264</v>
      </c>
      <c r="AY54" s="73">
        <f>IF(B54="","",SUMIF(FINAL,$A54,ac_S_Im)-($Y54*$AN54+$AB54*$AM54)-($AA54*$AT54+$AC54*$AS54))</f>
        <v>-193.43021919877043</v>
      </c>
      <c r="AZ54" s="73">
        <f>IF(B54="","",SUMIF(FINAL,$A54,ac_T_Re)-($Z54*$AP54-$AB54*$AQ54)-($AA54*$AS54-$AC54*$AT54))</f>
        <v>-111.9540047066152</v>
      </c>
      <c r="BA54" s="73">
        <f>IF(B54="","",SUMIF(FINAL,$A54,ac_T_Im)-($Z54*$AQ54+$AB54*$AP54)-($AA54*$AT54+$AC54*$AS54))</f>
        <v>199.4139603572257</v>
      </c>
      <c r="BB54" s="73">
        <f>IF(B54="","",SQRT(AV54^2+AW54^2))</f>
        <v>229.8608552662249</v>
      </c>
      <c r="BC54" s="73">
        <f>IF(B54="","",SQRT(AX54^2+AY54^2))</f>
        <v>222.68518174895712</v>
      </c>
      <c r="BD54" s="73">
        <f>IF(B54="","",SQRT(AZ54^2+BA54^2))</f>
        <v>228.69111647635552</v>
      </c>
      <c r="BE54" s="73">
        <f>IF(B54="","",SQRT((AV54-AX54)^2+(AW54-AY54)^2))</f>
        <v>392.7081403416222</v>
      </c>
      <c r="BF54" s="73">
        <f>IF(B54="","",SQRT((AX54-AZ54)^2+(AY54-BA54)^2))</f>
        <v>392.8475226408911</v>
      </c>
      <c r="BG54" s="73">
        <f>IF(B54="","",SQRT((AZ54-AV54)^2+(BA54-AW54)^2))</f>
        <v>394.3224510095389</v>
      </c>
      <c r="BH54" s="73">
        <f>IF(B54="","",100*($D$6-BB54)/$D$6)</f>
        <v>0.4673300019155998</v>
      </c>
      <c r="BI54" s="73">
        <f>IF(B54="","",100*($D$6-BC54)/$D$6)</f>
        <v>3.5744877795241603</v>
      </c>
      <c r="BJ54" s="73">
        <f>IF(B54="","",100*($D$6-BD54)/$D$6)</f>
        <v>0.9738417558250709</v>
      </c>
      <c r="BK54" s="40">
        <f>IF(B54="","",I54*(W54+SUMIF(INICIO,$B54,I_tramo)))</f>
        <v>39.837168574084174</v>
      </c>
      <c r="BL54" s="40">
        <f>IF(B54="","",BK54-CC54+1.25*CC54)</f>
        <v>39.837168574084174</v>
      </c>
      <c r="BM54" s="40">
        <f>IF(B54="","",SUMIF(FINAL,$A54,U_FINAL)-SQRT(3)*U54*CN54)</f>
        <v>385.05365696805495</v>
      </c>
      <c r="BN54" s="40">
        <f>IF(B54="","",100*($D$5-BM54)/$D$5)</f>
        <v>3.736585757986262</v>
      </c>
      <c r="BO54" s="40">
        <f>IF(B54="","",MAX(CR54:CT54)-CC54+1.25*CC54)</f>
        <v>39.837168574084174</v>
      </c>
      <c r="BP54" s="40">
        <f>IF(B54="","",SUMIF(FINAL,$A54,U_FINAL_R)-SQRT(3)*U54*CX54)</f>
        <v>395.6002620091938</v>
      </c>
      <c r="BQ54" s="40">
        <f>IF(B54="","",100*($D$5-BP54)/$D$5)</f>
        <v>1.099934497701554</v>
      </c>
      <c r="BR54" s="40">
        <f>IF(B54="","",SUMIF(FINAL,$A54,U_FINAL_S)-SQRT(3)*U54*CY54)</f>
        <v>393.0085130170744</v>
      </c>
      <c r="BS54" s="40">
        <f>IF(B54="","",100*($D$5-BR54)/$D$5)</f>
        <v>1.747871745731402</v>
      </c>
      <c r="BT54" s="40">
        <f>IF(B54="","",SUMIF(FINAL,$A54,U_FINAL_T)-SQRT(3)*U54*CZ54)</f>
        <v>395.49789937035825</v>
      </c>
      <c r="BU54" s="40">
        <f>IF(B54="","",100*($D$5-BT54)/$D$5)</f>
        <v>1.1255251574104363</v>
      </c>
      <c r="BV54" s="75">
        <f>IF(B54="","",U54+SUMIF(FINAL,$A54,R_FINAL))</f>
        <v>0.06294553571428571</v>
      </c>
      <c r="BW54" s="75">
        <f>IF(B54="","",AB54+SUMIF(FINAL,$A54,X_FINAL))</f>
        <v>0.022360191071428573</v>
      </c>
      <c r="BX54" s="40">
        <f>IF(B54="","",$D$6/SQRT((BV54-U54)^2+(BW54-AB54+$S$12)^2)/1000)</f>
        <v>2.991150923697575</v>
      </c>
      <c r="BY54" s="40">
        <f>IF(B54="","",SUMIF(Tipo_cable,J54,Constante_k)*K54/SQRT(IF(BZ54="",0.7,BZ54))/1000)</f>
        <v>1.797623828438928</v>
      </c>
      <c r="BZ54" s="61"/>
      <c r="CA54" s="73">
        <f t="shared" si="49"/>
        <v>0.25282441975353337</v>
      </c>
      <c r="CB54" s="84"/>
      <c r="CC54" s="73">
        <f t="shared" si="50"/>
        <v>0</v>
      </c>
      <c r="CD54" s="73">
        <f t="shared" si="91"/>
        <v>0</v>
      </c>
      <c r="CE54" s="73">
        <f t="shared" si="92"/>
        <v>0</v>
      </c>
      <c r="CF54" s="73">
        <f t="shared" si="93"/>
        <v>1</v>
      </c>
      <c r="CG54" s="73">
        <f t="shared" si="54"/>
        <v>0</v>
      </c>
      <c r="CH54" s="73">
        <f t="shared" si="55"/>
        <v>0</v>
      </c>
      <c r="CI54" s="73">
        <f t="shared" si="56"/>
        <v>0</v>
      </c>
      <c r="CJ54" s="76">
        <f>IF(B54="","",C54*IF(P54="Unipolar/Cu",3,0))</f>
        <v>0</v>
      </c>
      <c r="CK54" s="76">
        <f>IF(B54="","",C54*IF(P54="Unipolar/Al",3,0))</f>
        <v>12</v>
      </c>
      <c r="CL54" s="76">
        <f>IF(B54="","",C54*IF(P54="Tripolar/Cu",1,0))</f>
        <v>0</v>
      </c>
      <c r="CM54" s="76">
        <f>IF(B54="","",C54*IF(P54="Tripolar/Al",1,0))</f>
        <v>0</v>
      </c>
      <c r="CN54" s="40">
        <f>IF(B54="","",I54*(W54*F54+SUMIF(INICIO,$B54,I_cosfi)))</f>
        <v>35.85345171667576</v>
      </c>
      <c r="CO54" s="40">
        <f t="shared" si="94"/>
        <v>0</v>
      </c>
      <c r="CP54" s="40">
        <f t="shared" si="95"/>
        <v>0</v>
      </c>
      <c r="CQ54" s="40">
        <f t="shared" si="96"/>
        <v>39.44921735343209</v>
      </c>
      <c r="CR54" s="40">
        <f t="shared" si="97"/>
        <v>0</v>
      </c>
      <c r="CS54" s="40">
        <f>IF($B54="","",I54*IF($H$14="Sí",IF(OR($D54="S",$D54="RST"),$W54)+SUMIF(INICIO,$B54,I_tramoS),0))</f>
        <v>0</v>
      </c>
      <c r="CT54" s="40">
        <f>IF($B54="","",I54*IF($I$14="Sí",IF(OR($D54="T",$D54="RST"),$W54)+SUMIF(INICIO,$B54,I_tramoT),0))</f>
        <v>39.837168574084174</v>
      </c>
      <c r="CU54" s="40">
        <f t="shared" si="99"/>
        <v>0</v>
      </c>
      <c r="CV54" s="40">
        <f t="shared" si="100"/>
        <v>0</v>
      </c>
      <c r="CW54" s="40">
        <f t="shared" si="101"/>
        <v>39.837168574084174</v>
      </c>
      <c r="CX54" s="40">
        <f>IF($B54="","",I54*IF($G$14="Sí",IF(OR($D54="R",$D54="RST"),$W54*F54)+SUMIF(INICIO,$B54,IR_cosfi),0))</f>
        <v>0</v>
      </c>
      <c r="CY54" s="40">
        <f>IF($B54="","",I54*IF($H$14="Sí",IF(OR($D54="S",$D54="RST"),$W54*F54)+SUMIF(INICIO,$B54,IS_cosfi),0))</f>
        <v>0</v>
      </c>
      <c r="CZ54" s="40">
        <f>IF($B54="","",I54*IF($I$14="Sí",IF(OR($D54="T",$D54="RST"),$W54*F54)+SUMIF(INICIO,$B54,IT_cosfi),0))</f>
        <v>35.85345171667576</v>
      </c>
      <c r="DA54" s="40">
        <f>IF($X54="","",X54*AL54^2+Y54*AO54^2+Z54*AR54^2)</f>
        <v>12.7512772113983</v>
      </c>
    </row>
    <row r="55" spans="1:105" ht="12.75">
      <c r="A55" s="61" t="s">
        <v>41</v>
      </c>
      <c r="B55" s="61" t="s">
        <v>43</v>
      </c>
      <c r="C55" s="61">
        <v>20</v>
      </c>
      <c r="D55" s="61"/>
      <c r="E55" s="61"/>
      <c r="F55" s="61"/>
      <c r="G55" s="61"/>
      <c r="H55" s="120"/>
      <c r="I55" s="61">
        <v>1</v>
      </c>
      <c r="J55" s="61" t="s">
        <v>292</v>
      </c>
      <c r="K55" s="61">
        <v>70</v>
      </c>
      <c r="L55" s="61">
        <v>220</v>
      </c>
      <c r="M55" s="61" t="s">
        <v>292</v>
      </c>
      <c r="N55" s="61">
        <v>35</v>
      </c>
      <c r="O55" s="61">
        <v>150</v>
      </c>
      <c r="P55" s="61" t="s">
        <v>139</v>
      </c>
      <c r="Q55" s="120"/>
      <c r="R55" s="120"/>
      <c r="S55" s="120">
        <v>30</v>
      </c>
      <c r="T55" s="120">
        <v>0.8</v>
      </c>
      <c r="U55" s="72">
        <f t="shared" si="90"/>
        <v>0.008451428571428572</v>
      </c>
      <c r="V55" s="72">
        <f t="shared" si="14"/>
        <v>0.016902857142857143</v>
      </c>
      <c r="W55" s="73">
        <f t="shared" si="15"/>
        <v>0</v>
      </c>
      <c r="X55" s="72">
        <f t="shared" si="16"/>
        <v>0.008903276614442837</v>
      </c>
      <c r="Y55" s="72">
        <f t="shared" si="17"/>
        <v>0.008894715531479159</v>
      </c>
      <c r="Z55" s="72">
        <f t="shared" si="18"/>
        <v>0.008792021142857143</v>
      </c>
      <c r="AA55" s="72">
        <f t="shared" si="19"/>
        <v>0.01779359816622812</v>
      </c>
      <c r="AB55" s="72">
        <f t="shared" si="20"/>
        <v>0.003211542857142857</v>
      </c>
      <c r="AC55" s="72">
        <f t="shared" si="21"/>
        <v>0.0016902857142857145</v>
      </c>
      <c r="AD55" s="74">
        <f t="shared" si="108"/>
        <v>169.095330418172</v>
      </c>
      <c r="AE55" s="73">
        <f t="shared" si="67"/>
        <v>39.454731590884855</v>
      </c>
      <c r="AF55" s="40">
        <f t="shared" si="68"/>
        <v>9.382123842573321</v>
      </c>
      <c r="AG55" s="40">
        <f t="shared" si="104"/>
        <v>4.062578794560085</v>
      </c>
      <c r="AH55" s="40">
        <f t="shared" si="24"/>
        <v>7.924472844474451</v>
      </c>
      <c r="AI55" s="260">
        <f t="shared" si="25"/>
        <v>1.9811182111186127</v>
      </c>
      <c r="AJ55" s="40">
        <f t="shared" si="106"/>
        <v>35.80722944012748</v>
      </c>
      <c r="AK55" s="40">
        <f t="shared" si="107"/>
        <v>-16.568589102936926</v>
      </c>
      <c r="AL55" s="261">
        <f t="shared" si="26"/>
        <v>39.454731339091545</v>
      </c>
      <c r="AM55" s="40">
        <f aca="true" t="shared" si="113" ref="AM55:AM86">IF(B55="","",I55*IF($H$14="Sí",IF(OR($D55="S",$D55="RST"),IF($D$2="Sí",($W55/$D$6)*($AX55*$F55+$AY55*SIN(ACOS($F55))),-$W55*$F55/2-SQRT(3)/2*$W55*SIN(ACOS($F55))))+SUMIF(INICIO,$B55,S_RE),0))</f>
        <v>-31.254480871916183</v>
      </c>
      <c r="AN55" s="40">
        <f aca="true" t="shared" si="114" ref="AN55:AN86">IF(B55="","",I55*IF($H$14="Sí",IF(OR($D55="S",$D55="RST"),IF($D$2="Sí",($W55/$D$6)*($AY55*$F55-$AX55*SIN(ACOS($F55))),-SQRT(3)/2*$W55*$F55+0.5*$W55*SIN(ACOS($F55))))+SUMIF(INICIO,$B55,S_IM),0))</f>
        <v>-21.448714216827348</v>
      </c>
      <c r="AO55" s="40">
        <f t="shared" si="29"/>
        <v>37.906330818586305</v>
      </c>
      <c r="AP55" s="40">
        <f aca="true" t="shared" si="115" ref="AP55:AP86">IF(B55="","",I55*IF($I$14="Sí",IF(OR($D55="T",$D55="RST"),IF($D$2="Sí",($W55/$D$6)*($AZ55*$F55+$BA55*SIN(ACOS($F55))),-$W55*$F55/2+SQRT(3)/2*$W55*SIN(ACOS($F55))))+SUMIF(INICIO,$B55,T_RE),0))</f>
        <v>0</v>
      </c>
      <c r="AQ55" s="40">
        <f aca="true" t="shared" si="116" ref="AQ55:AQ86">IF(B55="","",I55*IF($I$14="Sí",IF(OR($D55="T",$D55="RST"),IF($D$2="Sí",($W55/$D$6)*($BA55*$F55-$AZ55*SIN(ACOS($F55))),SQRT(3)/2*$W55*$F55+0.5*$W55*SIN(ACOS($F55))))+SUMIF(INICIO,$B55,T_IM),0))</f>
        <v>0</v>
      </c>
      <c r="AR55" s="40">
        <f t="shared" si="32"/>
        <v>0</v>
      </c>
      <c r="AS55" s="40">
        <f t="shared" si="33"/>
        <v>4.552748568211296</v>
      </c>
      <c r="AT55" s="40">
        <f t="shared" si="34"/>
        <v>-38.017303319764274</v>
      </c>
      <c r="AU55" s="40">
        <f t="shared" si="35"/>
        <v>38.2889392805848</v>
      </c>
      <c r="AV55" s="73">
        <f t="shared" si="69"/>
        <v>229.29262692635015</v>
      </c>
      <c r="AW55" s="73">
        <f t="shared" si="70"/>
        <v>3.80460164120786</v>
      </c>
      <c r="AX55" s="73">
        <f t="shared" si="71"/>
        <v>-110.30358453280996</v>
      </c>
      <c r="AY55" s="73">
        <f t="shared" si="72"/>
        <v>-192.14853661671083</v>
      </c>
      <c r="AZ55" s="73">
        <f t="shared" si="73"/>
        <v>-112.18206536364298</v>
      </c>
      <c r="BA55" s="73">
        <f t="shared" si="74"/>
        <v>200.72536322542723</v>
      </c>
      <c r="BB55" s="73">
        <f t="shared" si="75"/>
        <v>229.32418920915143</v>
      </c>
      <c r="BC55" s="73">
        <f t="shared" si="76"/>
        <v>221.55798537793714</v>
      </c>
      <c r="BD55" s="73">
        <f t="shared" si="77"/>
        <v>229.94670519760086</v>
      </c>
      <c r="BE55" s="73">
        <f t="shared" si="36"/>
        <v>392.07552745681744</v>
      </c>
      <c r="BF55" s="73">
        <f t="shared" si="37"/>
        <v>392.8783906852121</v>
      </c>
      <c r="BG55" s="73">
        <f t="shared" si="38"/>
        <v>394.186189277928</v>
      </c>
      <c r="BH55" s="73">
        <f t="shared" si="39"/>
        <v>0.6997132213028231</v>
      </c>
      <c r="BI55" s="73">
        <f t="shared" si="102"/>
        <v>4.062578125702625</v>
      </c>
      <c r="BJ55" s="73">
        <f t="shared" si="103"/>
        <v>0.4301558911732273</v>
      </c>
      <c r="BK55" s="40">
        <f t="shared" si="78"/>
        <v>79.67433714816835</v>
      </c>
      <c r="BL55" s="40">
        <f t="shared" si="79"/>
        <v>79.67433714816835</v>
      </c>
      <c r="BM55" s="40">
        <f t="shared" si="80"/>
        <v>384.46321903948353</v>
      </c>
      <c r="BN55" s="40">
        <f t="shared" si="40"/>
        <v>3.8841952401291167</v>
      </c>
      <c r="BO55" s="40">
        <f t="shared" si="109"/>
        <v>39.837168574084174</v>
      </c>
      <c r="BP55" s="40">
        <f aca="true" t="shared" si="117" ref="BP55:BP87">IF(B55="","",SUMIF(FINAL,$A55,U_FINAL_R)-SQRT(3)*U55*CX55)</f>
        <v>395.0754282949081</v>
      </c>
      <c r="BQ55" s="40">
        <f t="shared" si="42"/>
        <v>1.2311429262729803</v>
      </c>
      <c r="BR55" s="40">
        <f aca="true" t="shared" si="118" ref="BR55:BR87">IF(B55="","",SUMIF(FINAL,$A55,U_FINAL_S)-SQRT(3)*U55*CY55)</f>
        <v>392.4836793027887</v>
      </c>
      <c r="BS55" s="40">
        <f t="shared" si="81"/>
        <v>1.8790801743028283</v>
      </c>
      <c r="BT55" s="40">
        <f aca="true" t="shared" si="119" ref="BT55:BT66">IF(B55="","",SUMIF(FINAL,$A55,U_FINAL_T)-SQRT(3)*U55*CZ55)</f>
        <v>395.95712887035825</v>
      </c>
      <c r="BU55" s="40">
        <f t="shared" si="45"/>
        <v>1.0107177824104383</v>
      </c>
      <c r="BV55" s="75">
        <f t="shared" si="46"/>
        <v>0.06400196428571428</v>
      </c>
      <c r="BW55" s="75">
        <f t="shared" si="47"/>
        <v>0.02483223392857143</v>
      </c>
      <c r="BX55" s="40">
        <f t="shared" si="110"/>
        <v>2.991150923697575</v>
      </c>
      <c r="BY55" s="40">
        <f t="shared" si="111"/>
        <v>7.86460424942031</v>
      </c>
      <c r="BZ55" s="61"/>
      <c r="CA55" s="73">
        <f t="shared" si="49"/>
        <v>4.839217409344973</v>
      </c>
      <c r="CB55" s="84"/>
      <c r="CC55" s="73">
        <f t="shared" si="50"/>
        <v>0</v>
      </c>
      <c r="CD55" s="73">
        <f t="shared" si="91"/>
        <v>0</v>
      </c>
      <c r="CE55" s="73">
        <f t="shared" si="92"/>
        <v>0</v>
      </c>
      <c r="CF55" s="73">
        <f t="shared" si="93"/>
        <v>0</v>
      </c>
      <c r="CG55" s="73">
        <f t="shared" si="54"/>
        <v>0</v>
      </c>
      <c r="CH55" s="73">
        <f t="shared" si="55"/>
        <v>0</v>
      </c>
      <c r="CI55" s="73">
        <f t="shared" si="56"/>
        <v>0</v>
      </c>
      <c r="CJ55" s="76">
        <f t="shared" si="57"/>
        <v>0</v>
      </c>
      <c r="CK55" s="76">
        <f t="shared" si="82"/>
        <v>60</v>
      </c>
      <c r="CL55" s="76">
        <f t="shared" si="83"/>
        <v>0</v>
      </c>
      <c r="CM55" s="76">
        <f t="shared" si="84"/>
        <v>0</v>
      </c>
      <c r="CN55" s="40">
        <f t="shared" si="112"/>
        <v>71.70690343335151</v>
      </c>
      <c r="CO55" s="40">
        <f t="shared" si="94"/>
        <v>39.454731339091545</v>
      </c>
      <c r="CP55" s="40">
        <f t="shared" si="95"/>
        <v>37.906330818586305</v>
      </c>
      <c r="CQ55" s="40">
        <f t="shared" si="96"/>
        <v>0</v>
      </c>
      <c r="CR55" s="40">
        <f t="shared" si="97"/>
        <v>39.837168574084174</v>
      </c>
      <c r="CS55" s="40">
        <f t="shared" si="87"/>
        <v>39.837168574084174</v>
      </c>
      <c r="CT55" s="40">
        <f t="shared" si="61"/>
        <v>0</v>
      </c>
      <c r="CU55" s="40">
        <f t="shared" si="99"/>
        <v>39.837168574084174</v>
      </c>
      <c r="CV55" s="40">
        <f t="shared" si="100"/>
        <v>39.837168574084174</v>
      </c>
      <c r="CW55" s="40">
        <f t="shared" si="101"/>
        <v>0</v>
      </c>
      <c r="CX55" s="40">
        <f t="shared" si="88"/>
        <v>35.85345171667576</v>
      </c>
      <c r="CY55" s="40">
        <f t="shared" si="89"/>
        <v>35.85345171667576</v>
      </c>
      <c r="CZ55" s="40">
        <f t="shared" si="98"/>
        <v>0</v>
      </c>
      <c r="DA55" s="40">
        <f t="shared" si="66"/>
        <v>26.640242523356633</v>
      </c>
    </row>
    <row r="56" spans="1:105" ht="12.75">
      <c r="A56" s="61" t="s">
        <v>43</v>
      </c>
      <c r="B56" s="61" t="s">
        <v>44</v>
      </c>
      <c r="C56" s="61">
        <v>4</v>
      </c>
      <c r="D56" s="61" t="s">
        <v>303</v>
      </c>
      <c r="E56" s="61">
        <v>8280</v>
      </c>
      <c r="F56" s="61">
        <v>0.9</v>
      </c>
      <c r="G56" s="61" t="s">
        <v>320</v>
      </c>
      <c r="H56" s="120"/>
      <c r="I56" s="61">
        <v>1</v>
      </c>
      <c r="J56" s="61" t="s">
        <v>292</v>
      </c>
      <c r="K56" s="61">
        <v>16</v>
      </c>
      <c r="L56" s="61">
        <v>97</v>
      </c>
      <c r="M56" s="61" t="s">
        <v>292</v>
      </c>
      <c r="N56" s="61">
        <v>16</v>
      </c>
      <c r="O56" s="61">
        <v>97</v>
      </c>
      <c r="P56" s="61" t="s">
        <v>139</v>
      </c>
      <c r="Q56" s="120"/>
      <c r="R56" s="120"/>
      <c r="S56" s="120">
        <v>30</v>
      </c>
      <c r="T56" s="120">
        <v>0.8</v>
      </c>
      <c r="U56" s="72">
        <f t="shared" si="90"/>
        <v>0.0073950000000000005</v>
      </c>
      <c r="V56" s="72">
        <f t="shared" si="14"/>
        <v>0.0073950000000000005</v>
      </c>
      <c r="W56" s="73">
        <f t="shared" si="15"/>
        <v>39.837168574084174</v>
      </c>
      <c r="X56" s="72">
        <f t="shared" si="16"/>
        <v>0.008193780447233075</v>
      </c>
      <c r="Y56" s="72">
        <f t="shared" si="17"/>
        <v>0.007693018500000001</v>
      </c>
      <c r="Z56" s="72">
        <f t="shared" si="18"/>
        <v>0.007693018500000001</v>
      </c>
      <c r="AA56" s="72">
        <f t="shared" si="19"/>
        <v>0.008193780447233075</v>
      </c>
      <c r="AB56" s="72">
        <f t="shared" si="20"/>
        <v>0.0007395000000000001</v>
      </c>
      <c r="AC56" s="72">
        <f t="shared" si="21"/>
        <v>0.00036975000000000007</v>
      </c>
      <c r="AD56" s="74">
        <f t="shared" si="108"/>
        <v>74.55566841164857</v>
      </c>
      <c r="AE56" s="73">
        <f t="shared" si="67"/>
        <v>39.454731339091545</v>
      </c>
      <c r="AF56" s="40">
        <f t="shared" si="68"/>
        <v>9.33902948156313</v>
      </c>
      <c r="AG56" s="40">
        <f t="shared" si="104"/>
        <v>4.0439183888627435</v>
      </c>
      <c r="AH56" s="40">
        <f t="shared" si="24"/>
        <v>8.134516277843147</v>
      </c>
      <c r="AI56" s="260">
        <f t="shared" si="25"/>
        <v>2.033629069460787</v>
      </c>
      <c r="AJ56" s="40">
        <f t="shared" si="106"/>
        <v>35.807228914792404</v>
      </c>
      <c r="AK56" s="40">
        <f t="shared" si="107"/>
        <v>-16.56858892539968</v>
      </c>
      <c r="AL56" s="261">
        <f t="shared" si="26"/>
        <v>39.45473078776767</v>
      </c>
      <c r="AM56" s="40">
        <f t="shared" si="113"/>
        <v>0</v>
      </c>
      <c r="AN56" s="40">
        <f t="shared" si="114"/>
        <v>0</v>
      </c>
      <c r="AO56" s="40">
        <f t="shared" si="29"/>
        <v>0</v>
      </c>
      <c r="AP56" s="40">
        <f t="shared" si="115"/>
        <v>0</v>
      </c>
      <c r="AQ56" s="40">
        <f t="shared" si="116"/>
        <v>0</v>
      </c>
      <c r="AR56" s="40">
        <f t="shared" si="32"/>
        <v>0</v>
      </c>
      <c r="AS56" s="40">
        <f t="shared" si="33"/>
        <v>35.807228914792404</v>
      </c>
      <c r="AT56" s="40">
        <f t="shared" si="34"/>
        <v>-16.56858892539968</v>
      </c>
      <c r="AU56" s="40">
        <f t="shared" si="35"/>
        <v>39.45473078776767</v>
      </c>
      <c r="AV56" s="73">
        <f t="shared" si="69"/>
        <v>228.6874550747814</v>
      </c>
      <c r="AW56" s="73">
        <f t="shared" si="70"/>
        <v>4.036401232484491</v>
      </c>
      <c r="AX56" s="73">
        <f t="shared" si="71"/>
        <v>-110.60310734071676</v>
      </c>
      <c r="AY56" s="73">
        <f t="shared" si="72"/>
        <v>-192.0260169596269</v>
      </c>
      <c r="AZ56" s="73">
        <f t="shared" si="73"/>
        <v>-112.48158817154977</v>
      </c>
      <c r="BA56" s="73">
        <f t="shared" si="74"/>
        <v>200.84788288251116</v>
      </c>
      <c r="BB56" s="73">
        <f t="shared" si="75"/>
        <v>228.72307413877107</v>
      </c>
      <c r="BC56" s="73">
        <f t="shared" si="76"/>
        <v>221.60107974195665</v>
      </c>
      <c r="BD56" s="73">
        <f t="shared" si="77"/>
        <v>230.1998691050476</v>
      </c>
      <c r="BE56" s="73">
        <f t="shared" si="36"/>
        <v>391.8654840268066</v>
      </c>
      <c r="BF56" s="73">
        <f t="shared" si="37"/>
        <v>392.8783906852121</v>
      </c>
      <c r="BG56" s="73">
        <f t="shared" si="38"/>
        <v>393.8668244202548</v>
      </c>
      <c r="BH56" s="73">
        <f t="shared" si="39"/>
        <v>0.9600036820763541</v>
      </c>
      <c r="BI56" s="73">
        <f t="shared" si="102"/>
        <v>4.04391771870221</v>
      </c>
      <c r="BJ56" s="73">
        <f t="shared" si="103"/>
        <v>0.32053270358811925</v>
      </c>
      <c r="BK56" s="40">
        <f t="shared" si="78"/>
        <v>39.837168574084174</v>
      </c>
      <c r="BL56" s="40">
        <f t="shared" si="79"/>
        <v>39.837168574084174</v>
      </c>
      <c r="BM56" s="40">
        <f t="shared" si="80"/>
        <v>384.00398953948354</v>
      </c>
      <c r="BN56" s="40">
        <f t="shared" si="40"/>
        <v>3.9990026151291147</v>
      </c>
      <c r="BO56" s="40">
        <f t="shared" si="109"/>
        <v>39.837168574084174</v>
      </c>
      <c r="BP56" s="40">
        <f t="shared" si="117"/>
        <v>394.6161987949081</v>
      </c>
      <c r="BQ56" s="40">
        <f t="shared" si="42"/>
        <v>1.3459503012729783</v>
      </c>
      <c r="BR56" s="40">
        <f t="shared" si="118"/>
        <v>392.4836793027887</v>
      </c>
      <c r="BS56" s="40">
        <f t="shared" si="81"/>
        <v>1.8790801743028283</v>
      </c>
      <c r="BT56" s="40">
        <f t="shared" si="119"/>
        <v>395.95712887035825</v>
      </c>
      <c r="BU56" s="40">
        <f t="shared" si="45"/>
        <v>1.0107177824104383</v>
      </c>
      <c r="BV56" s="75">
        <f t="shared" si="46"/>
        <v>0.07139696428571428</v>
      </c>
      <c r="BW56" s="75">
        <f t="shared" si="47"/>
        <v>0.02557173392857143</v>
      </c>
      <c r="BX56" s="40">
        <f t="shared" si="110"/>
        <v>2.698120457994675</v>
      </c>
      <c r="BY56" s="40">
        <f t="shared" si="111"/>
        <v>1.797623828438928</v>
      </c>
      <c r="BZ56" s="61"/>
      <c r="CA56" s="73">
        <f t="shared" si="49"/>
        <v>0.31072271479379393</v>
      </c>
      <c r="CB56" s="84"/>
      <c r="CC56" s="73">
        <f t="shared" si="50"/>
        <v>0</v>
      </c>
      <c r="CD56" s="73">
        <f t="shared" si="91"/>
        <v>1</v>
      </c>
      <c r="CE56" s="73">
        <f t="shared" si="92"/>
        <v>0</v>
      </c>
      <c r="CF56" s="73">
        <f t="shared" si="93"/>
        <v>0</v>
      </c>
      <c r="CG56" s="73">
        <f t="shared" si="54"/>
        <v>0</v>
      </c>
      <c r="CH56" s="73">
        <f t="shared" si="55"/>
        <v>0</v>
      </c>
      <c r="CI56" s="73">
        <f t="shared" si="56"/>
        <v>0</v>
      </c>
      <c r="CJ56" s="76">
        <f t="shared" si="57"/>
        <v>0</v>
      </c>
      <c r="CK56" s="76">
        <f t="shared" si="82"/>
        <v>12</v>
      </c>
      <c r="CL56" s="76">
        <f t="shared" si="83"/>
        <v>0</v>
      </c>
      <c r="CM56" s="76">
        <f t="shared" si="84"/>
        <v>0</v>
      </c>
      <c r="CN56" s="40">
        <f t="shared" si="112"/>
        <v>35.85345171667576</v>
      </c>
      <c r="CO56" s="40">
        <f t="shared" si="94"/>
        <v>39.45473078776767</v>
      </c>
      <c r="CP56" s="40">
        <f t="shared" si="95"/>
        <v>0</v>
      </c>
      <c r="CQ56" s="40">
        <f t="shared" si="96"/>
        <v>0</v>
      </c>
      <c r="CR56" s="40">
        <f t="shared" si="97"/>
        <v>39.837168574084174</v>
      </c>
      <c r="CS56" s="40">
        <f t="shared" si="87"/>
        <v>0</v>
      </c>
      <c r="CT56" s="40">
        <f t="shared" si="61"/>
        <v>0</v>
      </c>
      <c r="CU56" s="40">
        <f t="shared" si="99"/>
        <v>39.837168574084174</v>
      </c>
      <c r="CV56" s="40">
        <f t="shared" si="100"/>
        <v>0</v>
      </c>
      <c r="CW56" s="40">
        <f t="shared" si="101"/>
        <v>0</v>
      </c>
      <c r="CX56" s="40">
        <f t="shared" si="88"/>
        <v>35.85345171667576</v>
      </c>
      <c r="CY56" s="40">
        <f t="shared" si="89"/>
        <v>0</v>
      </c>
      <c r="CZ56" s="40">
        <f t="shared" si="98"/>
        <v>0</v>
      </c>
      <c r="DA56" s="40">
        <f t="shared" si="66"/>
        <v>12.75505958142457</v>
      </c>
    </row>
    <row r="57" spans="1:105" ht="12.75">
      <c r="A57" s="61" t="s">
        <v>43</v>
      </c>
      <c r="B57" s="61" t="s">
        <v>45</v>
      </c>
      <c r="C57" s="61">
        <v>20</v>
      </c>
      <c r="D57" s="61"/>
      <c r="E57" s="61"/>
      <c r="F57" s="61"/>
      <c r="G57" s="61"/>
      <c r="H57" s="120"/>
      <c r="I57" s="61">
        <v>1</v>
      </c>
      <c r="J57" s="61" t="s">
        <v>292</v>
      </c>
      <c r="K57" s="61">
        <v>70</v>
      </c>
      <c r="L57" s="61">
        <v>220</v>
      </c>
      <c r="M57" s="61" t="s">
        <v>292</v>
      </c>
      <c r="N57" s="61">
        <v>25</v>
      </c>
      <c r="O57" s="61">
        <v>150</v>
      </c>
      <c r="P57" s="61" t="s">
        <v>139</v>
      </c>
      <c r="Q57" s="120"/>
      <c r="R57" s="120"/>
      <c r="S57" s="120">
        <v>30</v>
      </c>
      <c r="T57" s="120">
        <v>0.8</v>
      </c>
      <c r="U57" s="72">
        <f t="shared" si="90"/>
        <v>0.008451428571428572</v>
      </c>
      <c r="V57" s="72">
        <f t="shared" si="14"/>
        <v>0.023664</v>
      </c>
      <c r="W57" s="73">
        <f t="shared" si="15"/>
        <v>0</v>
      </c>
      <c r="X57" s="72">
        <f t="shared" si="16"/>
        <v>0.008792021142857143</v>
      </c>
      <c r="Y57" s="72">
        <f t="shared" si="17"/>
        <v>0.008894715525736148</v>
      </c>
      <c r="Z57" s="72">
        <f t="shared" si="18"/>
        <v>0.008792021142857143</v>
      </c>
      <c r="AA57" s="72">
        <f t="shared" si="19"/>
        <v>0.024905203472061217</v>
      </c>
      <c r="AB57" s="72">
        <f t="shared" si="20"/>
        <v>0.003211542857142857</v>
      </c>
      <c r="AC57" s="72">
        <f t="shared" si="21"/>
        <v>0.0017748</v>
      </c>
      <c r="AD57" s="74">
        <f t="shared" si="108"/>
        <v>169.095330418172</v>
      </c>
      <c r="AE57" s="73">
        <f t="shared" si="67"/>
        <v>37.906330818586305</v>
      </c>
      <c r="AF57" s="40">
        <f t="shared" si="68"/>
        <v>10.618366705385341</v>
      </c>
      <c r="AG57" s="40">
        <f t="shared" si="104"/>
        <v>4.59788765678129</v>
      </c>
      <c r="AH57" s="40">
        <f t="shared" si="24"/>
        <v>8.251085864882782</v>
      </c>
      <c r="AI57" s="260">
        <f t="shared" si="25"/>
        <v>2.0627714662206955</v>
      </c>
      <c r="AJ57" s="40">
        <f t="shared" si="106"/>
        <v>0</v>
      </c>
      <c r="AK57" s="40">
        <f t="shared" si="107"/>
        <v>0</v>
      </c>
      <c r="AL57" s="261">
        <f t="shared" si="26"/>
        <v>0</v>
      </c>
      <c r="AM57" s="40">
        <f t="shared" si="113"/>
        <v>-31.25448100603375</v>
      </c>
      <c r="AN57" s="40">
        <f t="shared" si="114"/>
        <v>-21.4487140819952</v>
      </c>
      <c r="AO57" s="40">
        <f t="shared" si="29"/>
        <v>37.90633085287606</v>
      </c>
      <c r="AP57" s="40">
        <f t="shared" si="115"/>
        <v>0</v>
      </c>
      <c r="AQ57" s="40">
        <f t="shared" si="116"/>
        <v>0</v>
      </c>
      <c r="AR57" s="40">
        <f t="shared" si="32"/>
        <v>0</v>
      </c>
      <c r="AS57" s="40">
        <f t="shared" si="33"/>
        <v>-31.25448100603375</v>
      </c>
      <c r="AT57" s="40">
        <f t="shared" si="34"/>
        <v>-21.4487140819952</v>
      </c>
      <c r="AU57" s="40">
        <f t="shared" si="35"/>
        <v>37.90633085287606</v>
      </c>
      <c r="AV57" s="73">
        <f t="shared" si="69"/>
        <v>230.03295895746638</v>
      </c>
      <c r="AW57" s="73">
        <f t="shared" si="70"/>
        <v>4.394256682523524</v>
      </c>
      <c r="AX57" s="73">
        <f t="shared" si="71"/>
        <v>-109.35413624874548</v>
      </c>
      <c r="AY57" s="73">
        <f t="shared" si="72"/>
        <v>-191.26772626001434</v>
      </c>
      <c r="AZ57" s="73">
        <f t="shared" si="73"/>
        <v>-111.44173333252675</v>
      </c>
      <c r="BA57" s="73">
        <f t="shared" si="74"/>
        <v>201.3150182667429</v>
      </c>
      <c r="BB57" s="73">
        <f t="shared" si="75"/>
        <v>230.0749262708114</v>
      </c>
      <c r="BC57" s="73">
        <f t="shared" si="76"/>
        <v>220.32174251168442</v>
      </c>
      <c r="BD57" s="73">
        <f t="shared" si="77"/>
        <v>230.10214364037773</v>
      </c>
      <c r="BE57" s="73">
        <f t="shared" si="36"/>
        <v>391.7489144356577</v>
      </c>
      <c r="BF57" s="73">
        <f t="shared" si="37"/>
        <v>392.5882949882043</v>
      </c>
      <c r="BG57" s="73">
        <f t="shared" si="38"/>
        <v>394.186189277928</v>
      </c>
      <c r="BH57" s="73">
        <f t="shared" si="39"/>
        <v>0.37463453782281136</v>
      </c>
      <c r="BI57" s="73">
        <f t="shared" si="102"/>
        <v>4.597886989413698</v>
      </c>
      <c r="BJ57" s="73">
        <f t="shared" si="103"/>
        <v>0.36284907108849584</v>
      </c>
      <c r="BK57" s="40">
        <f t="shared" si="78"/>
        <v>39.837168574084174</v>
      </c>
      <c r="BL57" s="40">
        <f t="shared" si="79"/>
        <v>39.837168574084174</v>
      </c>
      <c r="BM57" s="40">
        <f t="shared" si="80"/>
        <v>383.9383853251978</v>
      </c>
      <c r="BN57" s="40">
        <f t="shared" si="40"/>
        <v>4.015403668700543</v>
      </c>
      <c r="BO57" s="40">
        <f t="shared" si="109"/>
        <v>39.837168574084174</v>
      </c>
      <c r="BP57" s="40">
        <f t="shared" si="117"/>
        <v>395.0754282949081</v>
      </c>
      <c r="BQ57" s="40">
        <f t="shared" si="42"/>
        <v>1.2311429262729803</v>
      </c>
      <c r="BR57" s="40">
        <f t="shared" si="118"/>
        <v>391.958845588503</v>
      </c>
      <c r="BS57" s="40">
        <f t="shared" si="81"/>
        <v>2.0102886028742546</v>
      </c>
      <c r="BT57" s="40">
        <f t="shared" si="119"/>
        <v>395.95712887035825</v>
      </c>
      <c r="BU57" s="40">
        <f t="shared" si="45"/>
        <v>1.0107177824104383</v>
      </c>
      <c r="BV57" s="75">
        <f t="shared" si="46"/>
        <v>0.07245339285714285</v>
      </c>
      <c r="BW57" s="75">
        <f t="shared" si="47"/>
        <v>0.028043776785714288</v>
      </c>
      <c r="BX57" s="40">
        <f t="shared" si="110"/>
        <v>2.698120457994675</v>
      </c>
      <c r="BY57" s="40">
        <f t="shared" si="111"/>
        <v>7.86460424942031</v>
      </c>
      <c r="BZ57" s="61"/>
      <c r="CA57" s="73">
        <f t="shared" si="49"/>
        <v>5.947426962849963</v>
      </c>
      <c r="CB57" s="84"/>
      <c r="CC57" s="73">
        <f t="shared" si="50"/>
        <v>0</v>
      </c>
      <c r="CD57" s="73">
        <f t="shared" si="91"/>
        <v>0</v>
      </c>
      <c r="CE57" s="73">
        <f t="shared" si="92"/>
        <v>0</v>
      </c>
      <c r="CF57" s="73">
        <f t="shared" si="93"/>
        <v>0</v>
      </c>
      <c r="CG57" s="73">
        <f t="shared" si="54"/>
        <v>0</v>
      </c>
      <c r="CH57" s="73">
        <f t="shared" si="55"/>
        <v>0</v>
      </c>
      <c r="CI57" s="73">
        <f t="shared" si="56"/>
        <v>0</v>
      </c>
      <c r="CJ57" s="76">
        <f t="shared" si="57"/>
        <v>0</v>
      </c>
      <c r="CK57" s="76">
        <f t="shared" si="82"/>
        <v>60</v>
      </c>
      <c r="CL57" s="76">
        <f t="shared" si="83"/>
        <v>0</v>
      </c>
      <c r="CM57" s="76">
        <f t="shared" si="84"/>
        <v>0</v>
      </c>
      <c r="CN57" s="40">
        <f t="shared" si="112"/>
        <v>35.85345171667576</v>
      </c>
      <c r="CO57" s="40">
        <f t="shared" si="94"/>
        <v>0</v>
      </c>
      <c r="CP57" s="40">
        <f t="shared" si="95"/>
        <v>37.90633085287606</v>
      </c>
      <c r="CQ57" s="40">
        <f t="shared" si="96"/>
        <v>0</v>
      </c>
      <c r="CR57" s="40">
        <f t="shared" si="97"/>
        <v>0</v>
      </c>
      <c r="CS57" s="40">
        <f t="shared" si="87"/>
        <v>39.837168574084174</v>
      </c>
      <c r="CT57" s="40">
        <f t="shared" si="61"/>
        <v>0</v>
      </c>
      <c r="CU57" s="40">
        <f t="shared" si="99"/>
        <v>0</v>
      </c>
      <c r="CV57" s="40">
        <f t="shared" si="100"/>
        <v>39.837168574084174</v>
      </c>
      <c r="CW57" s="40">
        <f t="shared" si="101"/>
        <v>0</v>
      </c>
      <c r="CX57" s="40">
        <f t="shared" si="88"/>
        <v>0</v>
      </c>
      <c r="CY57" s="40">
        <f t="shared" si="89"/>
        <v>35.85345171667576</v>
      </c>
      <c r="CZ57" s="40">
        <f t="shared" si="98"/>
        <v>0</v>
      </c>
      <c r="DA57" s="40">
        <f t="shared" si="66"/>
        <v>12.780727068881056</v>
      </c>
    </row>
    <row r="58" spans="1:105" ht="12.75">
      <c r="A58" s="61" t="s">
        <v>45</v>
      </c>
      <c r="B58" s="61" t="s">
        <v>46</v>
      </c>
      <c r="C58" s="61">
        <v>4</v>
      </c>
      <c r="D58" s="61" t="s">
        <v>304</v>
      </c>
      <c r="E58" s="61">
        <v>8280</v>
      </c>
      <c r="F58" s="61">
        <v>0.9</v>
      </c>
      <c r="G58" s="61" t="s">
        <v>320</v>
      </c>
      <c r="H58" s="120"/>
      <c r="I58" s="61">
        <v>1</v>
      </c>
      <c r="J58" s="61" t="s">
        <v>292</v>
      </c>
      <c r="K58" s="61">
        <v>16</v>
      </c>
      <c r="L58" s="61">
        <v>97</v>
      </c>
      <c r="M58" s="61" t="s">
        <v>292</v>
      </c>
      <c r="N58" s="61">
        <v>16</v>
      </c>
      <c r="O58" s="61">
        <v>97</v>
      </c>
      <c r="P58" s="61" t="s">
        <v>139</v>
      </c>
      <c r="Q58" s="120"/>
      <c r="R58" s="120"/>
      <c r="S58" s="120">
        <v>30</v>
      </c>
      <c r="T58" s="120">
        <v>0.8</v>
      </c>
      <c r="U58" s="72">
        <f t="shared" si="90"/>
        <v>0.0073950000000000005</v>
      </c>
      <c r="V58" s="72">
        <f t="shared" si="14"/>
        <v>0.0073950000000000005</v>
      </c>
      <c r="W58" s="73">
        <f t="shared" si="15"/>
        <v>39.837168574084174</v>
      </c>
      <c r="X58" s="72">
        <f t="shared" si="16"/>
        <v>0.007693018500000001</v>
      </c>
      <c r="Y58" s="72">
        <f t="shared" si="17"/>
        <v>0.008155246911392732</v>
      </c>
      <c r="Z58" s="72">
        <f t="shared" si="18"/>
        <v>0.007693018500000001</v>
      </c>
      <c r="AA58" s="72">
        <f t="shared" si="19"/>
        <v>0.008155246911392732</v>
      </c>
      <c r="AB58" s="72">
        <f t="shared" si="20"/>
        <v>0.0007395000000000001</v>
      </c>
      <c r="AC58" s="72">
        <f t="shared" si="21"/>
        <v>0.00036975000000000007</v>
      </c>
      <c r="AD58" s="74">
        <f t="shared" si="108"/>
        <v>74.55566841164857</v>
      </c>
      <c r="AE58" s="73">
        <f t="shared" si="67"/>
        <v>37.90633085287606</v>
      </c>
      <c r="AF58" s="40">
        <f t="shared" si="68"/>
        <v>11.193260494332492</v>
      </c>
      <c r="AG58" s="40">
        <f t="shared" si="104"/>
        <v>4.84682396963435</v>
      </c>
      <c r="AH58" s="40">
        <f t="shared" si="24"/>
        <v>8.557069080191809</v>
      </c>
      <c r="AI58" s="260">
        <f t="shared" si="25"/>
        <v>2.1392672700479523</v>
      </c>
      <c r="AJ58" s="40">
        <f t="shared" si="106"/>
        <v>0</v>
      </c>
      <c r="AK58" s="40">
        <f t="shared" si="107"/>
        <v>0</v>
      </c>
      <c r="AL58" s="261">
        <f t="shared" si="26"/>
        <v>0</v>
      </c>
      <c r="AM58" s="40">
        <f t="shared" si="113"/>
        <v>-31.254481481105895</v>
      </c>
      <c r="AN58" s="40">
        <f t="shared" si="114"/>
        <v>-21.448713895067534</v>
      </c>
      <c r="AO58" s="40">
        <f t="shared" si="29"/>
        <v>37.906331138811815</v>
      </c>
      <c r="AP58" s="40">
        <f t="shared" si="115"/>
        <v>0</v>
      </c>
      <c r="AQ58" s="40">
        <f t="shared" si="116"/>
        <v>0</v>
      </c>
      <c r="AR58" s="40">
        <f t="shared" si="32"/>
        <v>0</v>
      </c>
      <c r="AS58" s="40">
        <f t="shared" si="33"/>
        <v>-31.254481481105895</v>
      </c>
      <c r="AT58" s="40">
        <f t="shared" si="34"/>
        <v>-21.448713895067534</v>
      </c>
      <c r="AU58" s="40">
        <f t="shared" si="35"/>
        <v>37.906331138811815</v>
      </c>
      <c r="AV58" s="73">
        <f t="shared" si="69"/>
        <v>230.27991630906965</v>
      </c>
      <c r="AW58" s="73">
        <f t="shared" si="70"/>
        <v>4.580732584797259</v>
      </c>
      <c r="AX58" s="73">
        <f t="shared" si="71"/>
        <v>-108.86815220750164</v>
      </c>
      <c r="AY58" s="73">
        <f t="shared" si="72"/>
        <v>-190.88321811093923</v>
      </c>
      <c r="AZ58" s="73">
        <f t="shared" si="73"/>
        <v>-111.19477598092348</v>
      </c>
      <c r="BA58" s="73">
        <f t="shared" si="74"/>
        <v>201.50149416901664</v>
      </c>
      <c r="BB58" s="73">
        <f t="shared" si="75"/>
        <v>230.32547181396492</v>
      </c>
      <c r="BC58" s="73">
        <f t="shared" si="76"/>
        <v>219.74684871793755</v>
      </c>
      <c r="BD58" s="73">
        <f t="shared" si="77"/>
        <v>230.14588929154047</v>
      </c>
      <c r="BE58" s="73">
        <f t="shared" si="36"/>
        <v>391.44293121744613</v>
      </c>
      <c r="BF58" s="73">
        <f t="shared" si="37"/>
        <v>392.3916100137805</v>
      </c>
      <c r="BG58" s="73">
        <f t="shared" si="38"/>
        <v>394.186189277928</v>
      </c>
      <c r="BH58" s="73">
        <f t="shared" si="39"/>
        <v>0.2661451352348516</v>
      </c>
      <c r="BI58" s="73">
        <f t="shared" si="102"/>
        <v>4.846823304345098</v>
      </c>
      <c r="BJ58" s="73">
        <f t="shared" si="103"/>
        <v>0.3439066484824844</v>
      </c>
      <c r="BK58" s="40">
        <f t="shared" si="78"/>
        <v>39.837168574084174</v>
      </c>
      <c r="BL58" s="40">
        <f t="shared" si="79"/>
        <v>39.837168574084174</v>
      </c>
      <c r="BM58" s="40">
        <f t="shared" si="80"/>
        <v>383.47915582519784</v>
      </c>
      <c r="BN58" s="40">
        <f t="shared" si="40"/>
        <v>4.130211043700541</v>
      </c>
      <c r="BO58" s="40">
        <f t="shared" si="109"/>
        <v>39.837168574084174</v>
      </c>
      <c r="BP58" s="40">
        <f t="shared" si="117"/>
        <v>395.0754282949081</v>
      </c>
      <c r="BQ58" s="40">
        <f t="shared" si="42"/>
        <v>1.2311429262729803</v>
      </c>
      <c r="BR58" s="40">
        <f t="shared" si="118"/>
        <v>391.499616088503</v>
      </c>
      <c r="BS58" s="40">
        <f t="shared" si="81"/>
        <v>2.1250959778742526</v>
      </c>
      <c r="BT58" s="40">
        <f t="shared" si="119"/>
        <v>395.95712887035825</v>
      </c>
      <c r="BU58" s="40">
        <f t="shared" si="45"/>
        <v>1.0107177824104383</v>
      </c>
      <c r="BV58" s="75">
        <f t="shared" si="46"/>
        <v>0.07984839285714285</v>
      </c>
      <c r="BW58" s="75">
        <f t="shared" si="47"/>
        <v>0.02878327678571429</v>
      </c>
      <c r="BX58" s="40">
        <f t="shared" si="110"/>
        <v>2.4542072227250955</v>
      </c>
      <c r="BY58" s="40">
        <f t="shared" si="111"/>
        <v>1.797623828438928</v>
      </c>
      <c r="BZ58" s="61"/>
      <c r="CA58" s="73">
        <f t="shared" si="49"/>
        <v>0.37555470972007665</v>
      </c>
      <c r="CB58" s="84"/>
      <c r="CC58" s="73">
        <f t="shared" si="50"/>
        <v>0</v>
      </c>
      <c r="CD58" s="73">
        <f t="shared" si="91"/>
        <v>0</v>
      </c>
      <c r="CE58" s="73">
        <f t="shared" si="92"/>
        <v>1</v>
      </c>
      <c r="CF58" s="73">
        <f t="shared" si="93"/>
        <v>0</v>
      </c>
      <c r="CG58" s="73">
        <f t="shared" si="54"/>
        <v>0</v>
      </c>
      <c r="CH58" s="73">
        <f t="shared" si="55"/>
        <v>0</v>
      </c>
      <c r="CI58" s="73">
        <f t="shared" si="56"/>
        <v>0</v>
      </c>
      <c r="CJ58" s="76">
        <f t="shared" si="57"/>
        <v>0</v>
      </c>
      <c r="CK58" s="76">
        <f t="shared" si="82"/>
        <v>12</v>
      </c>
      <c r="CL58" s="76">
        <f t="shared" si="83"/>
        <v>0</v>
      </c>
      <c r="CM58" s="76">
        <f t="shared" si="84"/>
        <v>0</v>
      </c>
      <c r="CN58" s="40">
        <f t="shared" si="112"/>
        <v>35.85345171667576</v>
      </c>
      <c r="CO58" s="40">
        <f t="shared" si="94"/>
        <v>0</v>
      </c>
      <c r="CP58" s="40">
        <f t="shared" si="95"/>
        <v>37.906331138811815</v>
      </c>
      <c r="CQ58" s="40">
        <f t="shared" si="96"/>
        <v>0</v>
      </c>
      <c r="CR58" s="40">
        <f t="shared" si="97"/>
        <v>0</v>
      </c>
      <c r="CS58" s="40">
        <f t="shared" si="87"/>
        <v>39.837168574084174</v>
      </c>
      <c r="CT58" s="40">
        <f t="shared" si="61"/>
        <v>0</v>
      </c>
      <c r="CU58" s="40">
        <f t="shared" si="99"/>
        <v>0</v>
      </c>
      <c r="CV58" s="40">
        <f t="shared" si="100"/>
        <v>39.837168574084174</v>
      </c>
      <c r="CW58" s="40">
        <f t="shared" si="101"/>
        <v>0</v>
      </c>
      <c r="CX58" s="40">
        <f t="shared" si="88"/>
        <v>0</v>
      </c>
      <c r="CY58" s="40">
        <f t="shared" si="89"/>
        <v>35.85345171667576</v>
      </c>
      <c r="CZ58" s="40">
        <f t="shared" si="98"/>
        <v>0</v>
      </c>
      <c r="DA58" s="40">
        <f t="shared" si="66"/>
        <v>11.718192248501236</v>
      </c>
    </row>
    <row r="59" spans="1:105" ht="12.75">
      <c r="A59" s="61"/>
      <c r="B59" s="61"/>
      <c r="C59" s="61"/>
      <c r="D59" s="61"/>
      <c r="E59" s="61"/>
      <c r="F59" s="61"/>
      <c r="G59" s="61"/>
      <c r="H59" s="120"/>
      <c r="I59" s="61"/>
      <c r="J59" s="61"/>
      <c r="K59" s="61"/>
      <c r="L59" s="61"/>
      <c r="M59" s="61"/>
      <c r="N59" s="61"/>
      <c r="O59" s="61"/>
      <c r="P59" s="61"/>
      <c r="Q59" s="120"/>
      <c r="R59" s="120"/>
      <c r="S59" s="120"/>
      <c r="T59" s="120"/>
      <c r="U59" s="72">
        <f t="shared" si="90"/>
      </c>
      <c r="V59" s="72">
        <f t="shared" si="14"/>
      </c>
      <c r="W59" s="73">
        <f t="shared" si="15"/>
      </c>
      <c r="X59" s="72">
        <f t="shared" si="16"/>
      </c>
      <c r="Y59" s="72">
        <f t="shared" si="17"/>
      </c>
      <c r="Z59" s="72">
        <f t="shared" si="18"/>
      </c>
      <c r="AA59" s="72">
        <f t="shared" si="19"/>
      </c>
      <c r="AB59" s="72">
        <f t="shared" si="20"/>
      </c>
      <c r="AC59" s="72">
        <f t="shared" si="21"/>
      </c>
      <c r="AD59" s="74">
        <f t="shared" si="108"/>
      </c>
      <c r="AE59" s="73">
        <f t="shared" si="67"/>
      </c>
      <c r="AF59" s="40">
        <f t="shared" si="68"/>
      </c>
      <c r="AG59" s="40">
        <f t="shared" si="104"/>
      </c>
      <c r="AH59" s="40">
        <f t="shared" si="24"/>
      </c>
      <c r="AI59" s="260">
        <f t="shared" si="25"/>
      </c>
      <c r="AJ59" s="40">
        <f t="shared" si="106"/>
      </c>
      <c r="AK59" s="40">
        <f t="shared" si="107"/>
      </c>
      <c r="AL59" s="261">
        <f t="shared" si="26"/>
      </c>
      <c r="AM59" s="40">
        <f t="shared" si="113"/>
      </c>
      <c r="AN59" s="40">
        <f t="shared" si="114"/>
      </c>
      <c r="AO59" s="40">
        <f t="shared" si="29"/>
      </c>
      <c r="AP59" s="40">
        <f t="shared" si="115"/>
      </c>
      <c r="AQ59" s="40">
        <f t="shared" si="116"/>
      </c>
      <c r="AR59" s="40">
        <f t="shared" si="32"/>
      </c>
      <c r="AS59" s="40">
        <f t="shared" si="33"/>
      </c>
      <c r="AT59" s="40">
        <f t="shared" si="34"/>
      </c>
      <c r="AU59" s="40">
        <f t="shared" si="35"/>
      </c>
      <c r="AV59" s="73">
        <f t="shared" si="69"/>
      </c>
      <c r="AW59" s="73">
        <f t="shared" si="70"/>
      </c>
      <c r="AX59" s="73">
        <f t="shared" si="71"/>
      </c>
      <c r="AY59" s="73">
        <f t="shared" si="72"/>
      </c>
      <c r="AZ59" s="73">
        <f t="shared" si="73"/>
      </c>
      <c r="BA59" s="73">
        <f t="shared" si="74"/>
      </c>
      <c r="BB59" s="73">
        <f t="shared" si="75"/>
      </c>
      <c r="BC59" s="73">
        <f t="shared" si="76"/>
      </c>
      <c r="BD59" s="73">
        <f t="shared" si="77"/>
      </c>
      <c r="BE59" s="73">
        <f t="shared" si="36"/>
      </c>
      <c r="BF59" s="73">
        <f t="shared" si="37"/>
      </c>
      <c r="BG59" s="73">
        <f t="shared" si="38"/>
      </c>
      <c r="BH59" s="73">
        <f t="shared" si="39"/>
      </c>
      <c r="BI59" s="73">
        <f t="shared" si="102"/>
      </c>
      <c r="BJ59" s="73">
        <f t="shared" si="103"/>
      </c>
      <c r="BK59" s="40">
        <f t="shared" si="78"/>
      </c>
      <c r="BL59" s="40">
        <f t="shared" si="79"/>
      </c>
      <c r="BM59" s="40">
        <f t="shared" si="80"/>
      </c>
      <c r="BN59" s="40">
        <f t="shared" si="40"/>
      </c>
      <c r="BO59" s="40">
        <f t="shared" si="109"/>
      </c>
      <c r="BP59" s="40">
        <f t="shared" si="117"/>
      </c>
      <c r="BQ59" s="40">
        <f t="shared" si="42"/>
      </c>
      <c r="BR59" s="40">
        <f t="shared" si="118"/>
      </c>
      <c r="BS59" s="40">
        <f t="shared" si="81"/>
      </c>
      <c r="BT59" s="40">
        <f t="shared" si="119"/>
      </c>
      <c r="BU59" s="40">
        <f t="shared" si="45"/>
      </c>
      <c r="BV59" s="75">
        <f t="shared" si="46"/>
      </c>
      <c r="BW59" s="75">
        <f t="shared" si="47"/>
      </c>
      <c r="BX59" s="40">
        <f t="shared" si="110"/>
      </c>
      <c r="BY59" s="40">
        <f t="shared" si="111"/>
      </c>
      <c r="BZ59" s="61"/>
      <c r="CA59" s="73">
        <f t="shared" si="49"/>
      </c>
      <c r="CB59" s="84"/>
      <c r="CC59" s="73">
        <f t="shared" si="50"/>
      </c>
      <c r="CD59" s="73">
        <f t="shared" si="91"/>
      </c>
      <c r="CE59" s="73">
        <f t="shared" si="92"/>
      </c>
      <c r="CF59" s="73">
        <f t="shared" si="93"/>
      </c>
      <c r="CG59" s="73">
        <f t="shared" si="54"/>
      </c>
      <c r="CH59" s="73">
        <f t="shared" si="55"/>
      </c>
      <c r="CI59" s="73">
        <f t="shared" si="56"/>
      </c>
      <c r="CJ59" s="76">
        <f t="shared" si="57"/>
      </c>
      <c r="CK59" s="76">
        <f t="shared" si="82"/>
      </c>
      <c r="CL59" s="76">
        <f t="shared" si="83"/>
      </c>
      <c r="CM59" s="76">
        <f t="shared" si="84"/>
      </c>
      <c r="CN59" s="40">
        <f t="shared" si="112"/>
      </c>
      <c r="CO59" s="40">
        <f t="shared" si="94"/>
      </c>
      <c r="CP59" s="40">
        <f t="shared" si="95"/>
      </c>
      <c r="CQ59" s="40">
        <f t="shared" si="96"/>
      </c>
      <c r="CR59" s="40">
        <f t="shared" si="97"/>
      </c>
      <c r="CS59" s="40">
        <f t="shared" si="87"/>
      </c>
      <c r="CT59" s="40">
        <f t="shared" si="61"/>
      </c>
      <c r="CU59" s="40">
        <f t="shared" si="99"/>
      </c>
      <c r="CV59" s="40">
        <f t="shared" si="100"/>
      </c>
      <c r="CW59" s="40">
        <f t="shared" si="101"/>
      </c>
      <c r="CX59" s="40">
        <f t="shared" si="88"/>
      </c>
      <c r="CY59" s="40">
        <f t="shared" si="89"/>
      </c>
      <c r="CZ59" s="40">
        <f t="shared" si="98"/>
      </c>
      <c r="DA59" s="40">
        <f t="shared" si="66"/>
      </c>
    </row>
    <row r="60" spans="1:105" ht="12.75">
      <c r="A60" s="61" t="s">
        <v>10</v>
      </c>
      <c r="B60" s="61" t="s">
        <v>47</v>
      </c>
      <c r="C60" s="61">
        <v>100</v>
      </c>
      <c r="D60" s="61"/>
      <c r="E60" s="61"/>
      <c r="F60" s="61"/>
      <c r="G60" s="61"/>
      <c r="H60" s="120" t="s">
        <v>48</v>
      </c>
      <c r="I60" s="61">
        <v>1</v>
      </c>
      <c r="J60" s="61" t="s">
        <v>292</v>
      </c>
      <c r="K60" s="61">
        <v>25</v>
      </c>
      <c r="L60" s="61">
        <v>125</v>
      </c>
      <c r="M60" s="61" t="s">
        <v>292</v>
      </c>
      <c r="N60" s="61">
        <v>16</v>
      </c>
      <c r="O60" s="61">
        <v>97</v>
      </c>
      <c r="P60" s="61" t="s">
        <v>139</v>
      </c>
      <c r="Q60" s="120"/>
      <c r="R60" s="120"/>
      <c r="S60" s="120">
        <v>30</v>
      </c>
      <c r="T60" s="120">
        <v>0.8</v>
      </c>
      <c r="U60" s="72">
        <f t="shared" si="90"/>
        <v>0.11832000000000001</v>
      </c>
      <c r="V60" s="72">
        <f t="shared" si="14"/>
        <v>0.184875</v>
      </c>
      <c r="W60" s="73">
        <f t="shared" si="15"/>
        <v>0</v>
      </c>
      <c r="X60" s="72">
        <f t="shared" si="16"/>
        <v>0.12411921845785266</v>
      </c>
      <c r="Y60" s="72">
        <f t="shared" si="17"/>
        <v>0.12406417957185957</v>
      </c>
      <c r="Z60" s="72">
        <f t="shared" si="18"/>
        <v>0.12406644523721545</v>
      </c>
      <c r="AA60" s="72">
        <f t="shared" si="19"/>
        <v>0.1923265246554876</v>
      </c>
      <c r="AB60" s="72">
        <f t="shared" si="20"/>
        <v>0.017748</v>
      </c>
      <c r="AC60" s="72">
        <f t="shared" si="21"/>
        <v>0.00924375</v>
      </c>
      <c r="AD60" s="74">
        <f t="shared" si="108"/>
        <v>96.07689228305229</v>
      </c>
      <c r="AE60" s="73">
        <f t="shared" si="67"/>
        <v>20.360506591279556</v>
      </c>
      <c r="AF60" s="40">
        <f t="shared" si="68"/>
        <v>2.501766111442805</v>
      </c>
      <c r="AG60" s="40">
        <f t="shared" si="104"/>
        <v>1.08329650341824</v>
      </c>
      <c r="AH60" s="40">
        <f t="shared" si="24"/>
        <v>4.109752413473132</v>
      </c>
      <c r="AI60" s="260">
        <f t="shared" si="25"/>
        <v>1.027438103368283</v>
      </c>
      <c r="AJ60" s="40">
        <f t="shared" si="106"/>
        <v>15.499581046465874</v>
      </c>
      <c r="AK60" s="40">
        <f t="shared" si="107"/>
        <v>-9.611649769925684</v>
      </c>
      <c r="AL60" s="261">
        <f t="shared" si="26"/>
        <v>18.237895270992116</v>
      </c>
      <c r="AM60" s="40">
        <f t="shared" si="113"/>
        <v>-15.653058747451098</v>
      </c>
      <c r="AN60" s="40">
        <f t="shared" si="114"/>
        <v>-8.357308773010933</v>
      </c>
      <c r="AO60" s="40">
        <f t="shared" si="29"/>
        <v>17.744375392743496</v>
      </c>
      <c r="AP60" s="40">
        <f t="shared" si="115"/>
        <v>0.570479256533221</v>
      </c>
      <c r="AQ60" s="40">
        <f t="shared" si="116"/>
        <v>17.755799842683032</v>
      </c>
      <c r="AR60" s="40">
        <f t="shared" si="32"/>
        <v>17.76496199364236</v>
      </c>
      <c r="AS60" s="40">
        <f t="shared" si="33"/>
        <v>0.4170015555479968</v>
      </c>
      <c r="AT60" s="40">
        <f t="shared" si="34"/>
        <v>-0.21315870025358663</v>
      </c>
      <c r="AU60" s="40">
        <f t="shared" si="35"/>
        <v>0.4683235300764285</v>
      </c>
      <c r="AV60" s="73">
        <f t="shared" si="69"/>
        <v>228.4364449486119</v>
      </c>
      <c r="AW60" s="73">
        <f t="shared" si="70"/>
        <v>0.9308298454582628</v>
      </c>
      <c r="AX60" s="73">
        <f t="shared" si="71"/>
        <v>-113.70200141693581</v>
      </c>
      <c r="AY60" s="73">
        <f t="shared" si="72"/>
        <v>-198.24339463409285</v>
      </c>
      <c r="AZ60" s="73">
        <f t="shared" si="73"/>
        <v>-115.1200602832296</v>
      </c>
      <c r="BA60" s="73">
        <f t="shared" si="74"/>
        <v>197.72034430753243</v>
      </c>
      <c r="BB60" s="73">
        <f t="shared" si="75"/>
        <v>228.43834140739463</v>
      </c>
      <c r="BC60" s="73">
        <f t="shared" si="76"/>
        <v>228.5357491559374</v>
      </c>
      <c r="BD60" s="73">
        <f t="shared" si="77"/>
        <v>228.7924011690589</v>
      </c>
      <c r="BE60" s="73">
        <f t="shared" si="36"/>
        <v>395.890247642527</v>
      </c>
      <c r="BF60" s="73">
        <f t="shared" si="37"/>
        <v>395.96627816971966</v>
      </c>
      <c r="BG60" s="73">
        <f t="shared" si="38"/>
        <v>395.92573203738</v>
      </c>
      <c r="BH60" s="73">
        <f t="shared" si="39"/>
        <v>1.0832965714068163</v>
      </c>
      <c r="BI60" s="73">
        <f t="shared" si="102"/>
        <v>1.0411177790250763</v>
      </c>
      <c r="BJ60" s="73">
        <f t="shared" si="103"/>
        <v>0.9299841973772539</v>
      </c>
      <c r="BK60" s="40">
        <f t="shared" si="78"/>
        <v>24.376067982991408</v>
      </c>
      <c r="BL60" s="40">
        <f t="shared" si="79"/>
        <v>26.498679266776797</v>
      </c>
      <c r="BM60" s="40">
        <f t="shared" si="80"/>
        <v>395.27555418234067</v>
      </c>
      <c r="BN60" s="40">
        <f t="shared" si="40"/>
        <v>1.1811114544148325</v>
      </c>
      <c r="BO60" s="40">
        <f t="shared" si="109"/>
        <v>20.436501440285724</v>
      </c>
      <c r="BP60" s="40">
        <f t="shared" si="117"/>
        <v>396.57640200919377</v>
      </c>
      <c r="BQ60" s="40">
        <f t="shared" si="42"/>
        <v>0.8558994977015573</v>
      </c>
      <c r="BR60" s="40">
        <f t="shared" si="118"/>
        <v>396.5631838742172</v>
      </c>
      <c r="BS60" s="40">
        <f t="shared" si="81"/>
        <v>0.8592040314456995</v>
      </c>
      <c r="BT60" s="40">
        <f t="shared" si="119"/>
        <v>396.6252142989297</v>
      </c>
      <c r="BU60" s="40">
        <f t="shared" si="45"/>
        <v>0.8436964252675807</v>
      </c>
      <c r="BV60" s="75">
        <f t="shared" si="46"/>
        <v>0.11893625000000001</v>
      </c>
      <c r="BW60" s="75">
        <f t="shared" si="47"/>
        <v>0.0184936625</v>
      </c>
      <c r="BX60" s="40">
        <f t="shared" si="110"/>
        <v>7.051291847326828</v>
      </c>
      <c r="BY60" s="40">
        <f t="shared" si="111"/>
        <v>2.808787231935825</v>
      </c>
      <c r="BZ60" s="61"/>
      <c r="CA60" s="73">
        <f t="shared" si="49"/>
        <v>0.11107040213286239</v>
      </c>
      <c r="CB60" s="84"/>
      <c r="CC60" s="73">
        <f t="shared" si="50"/>
        <v>8.490445135141556</v>
      </c>
      <c r="CD60" s="73">
        <f t="shared" si="91"/>
        <v>0</v>
      </c>
      <c r="CE60" s="73">
        <f t="shared" si="92"/>
        <v>0</v>
      </c>
      <c r="CF60" s="73">
        <f t="shared" si="93"/>
        <v>0</v>
      </c>
      <c r="CG60" s="73">
        <f t="shared" si="54"/>
        <v>8.490445135141556</v>
      </c>
      <c r="CH60" s="73">
        <f t="shared" si="55"/>
        <v>8.490445135141556</v>
      </c>
      <c r="CI60" s="73">
        <f t="shared" si="56"/>
        <v>8.490445135141556</v>
      </c>
      <c r="CJ60" s="76">
        <f t="shared" si="57"/>
        <v>0</v>
      </c>
      <c r="CK60" s="76">
        <f t="shared" si="82"/>
        <v>300</v>
      </c>
      <c r="CL60" s="76">
        <f t="shared" si="83"/>
        <v>0</v>
      </c>
      <c r="CM60" s="76">
        <f t="shared" si="84"/>
        <v>0</v>
      </c>
      <c r="CN60" s="40">
        <f t="shared" si="112"/>
        <v>19.7453792062852</v>
      </c>
      <c r="CO60" s="40">
        <f t="shared" si="94"/>
        <v>20.360506554777505</v>
      </c>
      <c r="CP60" s="40">
        <f t="shared" si="95"/>
        <v>19.866986676528885</v>
      </c>
      <c r="CQ60" s="40">
        <f t="shared" si="96"/>
        <v>19.887573277427748</v>
      </c>
      <c r="CR60" s="40">
        <f t="shared" si="97"/>
        <v>18.313890156500335</v>
      </c>
      <c r="CS60" s="40">
        <f t="shared" si="87"/>
        <v>18.313890156500335</v>
      </c>
      <c r="CT60" s="40">
        <f t="shared" si="61"/>
        <v>18.313890156500335</v>
      </c>
      <c r="CU60" s="40">
        <f t="shared" si="99"/>
        <v>20.436501440285724</v>
      </c>
      <c r="CV60" s="40">
        <f t="shared" si="100"/>
        <v>20.436501440285724</v>
      </c>
      <c r="CW60" s="40">
        <f t="shared" si="101"/>
        <v>20.436501440285724</v>
      </c>
      <c r="CX60" s="40">
        <f t="shared" si="88"/>
        <v>15.24204710660612</v>
      </c>
      <c r="CY60" s="40">
        <f t="shared" si="89"/>
        <v>15.24204710660612</v>
      </c>
      <c r="CZ60" s="40">
        <f t="shared" si="98"/>
        <v>15.24204710660612</v>
      </c>
      <c r="DA60" s="40">
        <f t="shared" si="66"/>
        <v>119.50244903706631</v>
      </c>
    </row>
    <row r="61" spans="1:105" ht="12.75">
      <c r="A61" s="61" t="s">
        <v>47</v>
      </c>
      <c r="B61" s="61" t="s">
        <v>49</v>
      </c>
      <c r="C61" s="61">
        <v>8</v>
      </c>
      <c r="D61" s="61"/>
      <c r="E61" s="61"/>
      <c r="F61" s="61"/>
      <c r="G61" s="61"/>
      <c r="H61" s="120" t="s">
        <v>48</v>
      </c>
      <c r="I61" s="61">
        <v>1</v>
      </c>
      <c r="J61" s="61" t="s">
        <v>161</v>
      </c>
      <c r="K61" s="61">
        <v>16</v>
      </c>
      <c r="L61" s="61">
        <v>59</v>
      </c>
      <c r="M61" s="61" t="s">
        <v>161</v>
      </c>
      <c r="N61" s="61">
        <v>16</v>
      </c>
      <c r="O61" s="61">
        <v>59</v>
      </c>
      <c r="P61" s="61" t="s">
        <v>139</v>
      </c>
      <c r="Q61" s="120"/>
      <c r="R61" s="120"/>
      <c r="S61" s="120"/>
      <c r="T61" s="120"/>
      <c r="U61" s="72">
        <f t="shared" si="90"/>
        <v>0.009179999999999999</v>
      </c>
      <c r="V61" s="72">
        <f t="shared" si="14"/>
        <v>0.009179999999999999</v>
      </c>
      <c r="W61" s="73">
        <f t="shared" si="15"/>
        <v>0</v>
      </c>
      <c r="X61" s="72">
        <f t="shared" si="16"/>
        <v>0.010002868218797183</v>
      </c>
      <c r="Y61" s="72">
        <f t="shared" si="17"/>
        <v>0.009997360912947485</v>
      </c>
      <c r="Z61" s="72">
        <f t="shared" si="18"/>
        <v>0.009997587624261004</v>
      </c>
      <c r="AA61" s="72">
        <f t="shared" si="19"/>
        <v>0.009899780020205083</v>
      </c>
      <c r="AB61" s="72">
        <f t="shared" si="20"/>
        <v>0.000918</v>
      </c>
      <c r="AC61" s="72">
        <f t="shared" si="21"/>
        <v>0.000459</v>
      </c>
      <c r="AD61" s="74">
        <f t="shared" si="108"/>
        <v>59</v>
      </c>
      <c r="AE61" s="73">
        <f t="shared" si="67"/>
        <v>20.360506554777505</v>
      </c>
      <c r="AF61" s="40">
        <f t="shared" si="68"/>
        <v>2.6694972898061167</v>
      </c>
      <c r="AG61" s="40">
        <f t="shared" si="104"/>
        <v>1.1559262341529033</v>
      </c>
      <c r="AH61" s="40">
        <f t="shared" si="24"/>
        <v>4.388005548393153</v>
      </c>
      <c r="AI61" s="260">
        <f t="shared" si="25"/>
        <v>1.0970013870982882</v>
      </c>
      <c r="AJ61" s="40">
        <f t="shared" si="106"/>
        <v>15.49958098313791</v>
      </c>
      <c r="AK61" s="40">
        <f t="shared" si="107"/>
        <v>-9.61164991880906</v>
      </c>
      <c r="AL61" s="261">
        <f t="shared" si="26"/>
        <v>18.237895295636296</v>
      </c>
      <c r="AM61" s="40">
        <f t="shared" si="113"/>
        <v>-15.653058811343767</v>
      </c>
      <c r="AN61" s="40">
        <f t="shared" si="114"/>
        <v>-8.357308858780176</v>
      </c>
      <c r="AO61" s="40">
        <f t="shared" si="29"/>
        <v>17.744375489501802</v>
      </c>
      <c r="AP61" s="40">
        <f t="shared" si="115"/>
        <v>0.570479252772151</v>
      </c>
      <c r="AQ61" s="40">
        <f t="shared" si="116"/>
        <v>17.755799816000707</v>
      </c>
      <c r="AR61" s="40">
        <f t="shared" si="32"/>
        <v>17.76496196685302</v>
      </c>
      <c r="AS61" s="40">
        <f t="shared" si="33"/>
        <v>0.4170014245662945</v>
      </c>
      <c r="AT61" s="40">
        <f t="shared" si="34"/>
        <v>-0.21315896158852965</v>
      </c>
      <c r="AU61" s="40">
        <f t="shared" si="35"/>
        <v>0.46832353239594876</v>
      </c>
      <c r="AV61" s="73">
        <f t="shared" si="69"/>
        <v>228.26835512563085</v>
      </c>
      <c r="AW61" s="73">
        <f t="shared" si="70"/>
        <v>1.0146641207939877</v>
      </c>
      <c r="AX61" s="73">
        <f t="shared" si="71"/>
        <v>-113.55741021047426</v>
      </c>
      <c r="AY61" s="73">
        <f t="shared" si="72"/>
        <v>-198.14355527000666</v>
      </c>
      <c r="AZ61" s="73">
        <f t="shared" si="73"/>
        <v>-115.1136899376506</v>
      </c>
      <c r="BA61" s="73">
        <f t="shared" si="74"/>
        <v>197.54422426625425</v>
      </c>
      <c r="BB61" s="73">
        <f t="shared" si="75"/>
        <v>228.2706102305751</v>
      </c>
      <c r="BC61" s="73">
        <f t="shared" si="76"/>
        <v>228.37721845391695</v>
      </c>
      <c r="BD61" s="73">
        <f t="shared" si="77"/>
        <v>228.63700958510134</v>
      </c>
      <c r="BE61" s="73">
        <f t="shared" si="36"/>
        <v>395.61199450791213</v>
      </c>
      <c r="BF61" s="73">
        <f t="shared" si="37"/>
        <v>395.69084002656143</v>
      </c>
      <c r="BG61" s="73">
        <f t="shared" si="38"/>
        <v>395.6451653727233</v>
      </c>
      <c r="BH61" s="73">
        <f t="shared" si="39"/>
        <v>1.1559263014730026</v>
      </c>
      <c r="BI61" s="73">
        <f t="shared" si="102"/>
        <v>1.1097635866398183</v>
      </c>
      <c r="BJ61" s="73">
        <f t="shared" si="103"/>
        <v>0.9972707269980314</v>
      </c>
      <c r="BK61" s="40">
        <f t="shared" si="78"/>
        <v>24.376067982991408</v>
      </c>
      <c r="BL61" s="40">
        <f t="shared" si="79"/>
        <v>26.498679266776797</v>
      </c>
      <c r="BM61" s="40">
        <f t="shared" si="80"/>
        <v>394.96159818234065</v>
      </c>
      <c r="BN61" s="40">
        <f t="shared" si="40"/>
        <v>1.2596004544148371</v>
      </c>
      <c r="BO61" s="40">
        <f t="shared" si="109"/>
        <v>20.436501440285724</v>
      </c>
      <c r="BP61" s="40">
        <f t="shared" si="117"/>
        <v>396.3340500091938</v>
      </c>
      <c r="BQ61" s="40">
        <f t="shared" si="42"/>
        <v>0.9164874977015529</v>
      </c>
      <c r="BR61" s="40">
        <f t="shared" si="118"/>
        <v>396.3208318742172</v>
      </c>
      <c r="BS61" s="40">
        <f t="shared" si="81"/>
        <v>0.9197920314456951</v>
      </c>
      <c r="BT61" s="40">
        <f t="shared" si="119"/>
        <v>396.3828622989297</v>
      </c>
      <c r="BU61" s="40">
        <f t="shared" si="45"/>
        <v>0.9042844252675764</v>
      </c>
      <c r="BV61" s="75">
        <f t="shared" si="46"/>
        <v>0.12811625000000001</v>
      </c>
      <c r="BW61" s="75">
        <f t="shared" si="47"/>
        <v>0.0194116625</v>
      </c>
      <c r="BX61" s="40">
        <f t="shared" si="110"/>
        <v>1.7873121581907923</v>
      </c>
      <c r="BY61" s="40">
        <f t="shared" si="111"/>
        <v>2.199220641175284</v>
      </c>
      <c r="BZ61" s="61"/>
      <c r="CA61" s="73">
        <f t="shared" si="49"/>
        <v>1.0598266274817925</v>
      </c>
      <c r="CB61" s="84"/>
      <c r="CC61" s="73">
        <f t="shared" si="50"/>
        <v>8.490445135141556</v>
      </c>
      <c r="CD61" s="73">
        <f t="shared" si="91"/>
        <v>0</v>
      </c>
      <c r="CE61" s="73">
        <f t="shared" si="92"/>
        <v>0</v>
      </c>
      <c r="CF61" s="73">
        <f t="shared" si="93"/>
        <v>0</v>
      </c>
      <c r="CG61" s="73">
        <f t="shared" si="54"/>
        <v>8.490445135141556</v>
      </c>
      <c r="CH61" s="73">
        <f t="shared" si="55"/>
        <v>8.490445135141556</v>
      </c>
      <c r="CI61" s="73">
        <f t="shared" si="56"/>
        <v>8.490445135141556</v>
      </c>
      <c r="CJ61" s="76">
        <f t="shared" si="57"/>
        <v>0</v>
      </c>
      <c r="CK61" s="76">
        <f t="shared" si="82"/>
        <v>24</v>
      </c>
      <c r="CL61" s="76">
        <f t="shared" si="83"/>
        <v>0</v>
      </c>
      <c r="CM61" s="76">
        <f t="shared" si="84"/>
        <v>0</v>
      </c>
      <c r="CN61" s="40">
        <f t="shared" si="112"/>
        <v>19.7453792062852</v>
      </c>
      <c r="CO61" s="40">
        <f t="shared" si="94"/>
        <v>20.360506579421685</v>
      </c>
      <c r="CP61" s="40">
        <f t="shared" si="95"/>
        <v>19.86698677328719</v>
      </c>
      <c r="CQ61" s="40">
        <f t="shared" si="96"/>
        <v>19.887573250638408</v>
      </c>
      <c r="CR61" s="40">
        <f t="shared" si="97"/>
        <v>18.313890156500335</v>
      </c>
      <c r="CS61" s="40">
        <f t="shared" si="87"/>
        <v>18.313890156500335</v>
      </c>
      <c r="CT61" s="40">
        <f t="shared" si="61"/>
        <v>18.313890156500335</v>
      </c>
      <c r="CU61" s="40">
        <f t="shared" si="99"/>
        <v>20.436501440285724</v>
      </c>
      <c r="CV61" s="40">
        <f t="shared" si="100"/>
        <v>20.436501440285724</v>
      </c>
      <c r="CW61" s="40">
        <f t="shared" si="101"/>
        <v>20.436501440285724</v>
      </c>
      <c r="CX61" s="40">
        <f t="shared" si="88"/>
        <v>15.24204710660612</v>
      </c>
      <c r="CY61" s="40">
        <f t="shared" si="89"/>
        <v>15.24204710660612</v>
      </c>
      <c r="CZ61" s="40">
        <f t="shared" si="98"/>
        <v>15.24204710660612</v>
      </c>
      <c r="DA61" s="40">
        <f t="shared" si="66"/>
        <v>9.630137347904274</v>
      </c>
    </row>
    <row r="62" spans="1:105" ht="12.75">
      <c r="A62" s="61" t="s">
        <v>49</v>
      </c>
      <c r="B62" s="61" t="s">
        <v>50</v>
      </c>
      <c r="C62" s="61">
        <v>20</v>
      </c>
      <c r="D62" s="61"/>
      <c r="E62" s="61"/>
      <c r="F62" s="61"/>
      <c r="G62" s="61"/>
      <c r="H62" s="120" t="s">
        <v>48</v>
      </c>
      <c r="I62" s="61">
        <v>1</v>
      </c>
      <c r="J62" s="61" t="s">
        <v>161</v>
      </c>
      <c r="K62" s="61">
        <v>10</v>
      </c>
      <c r="L62" s="61">
        <v>40</v>
      </c>
      <c r="M62" s="61" t="s">
        <v>161</v>
      </c>
      <c r="N62" s="61">
        <v>10</v>
      </c>
      <c r="O62" s="61">
        <v>40</v>
      </c>
      <c r="P62" s="61" t="s">
        <v>136</v>
      </c>
      <c r="Q62" s="120"/>
      <c r="R62" s="120"/>
      <c r="S62" s="120"/>
      <c r="T62" s="120"/>
      <c r="U62" s="72">
        <f t="shared" si="90"/>
        <v>0.036719999999999996</v>
      </c>
      <c r="V62" s="72">
        <f t="shared" si="14"/>
        <v>0.036719999999999996</v>
      </c>
      <c r="W62" s="73">
        <f t="shared" si="15"/>
        <v>0</v>
      </c>
      <c r="X62" s="72">
        <f t="shared" si="16"/>
        <v>0.040250461425734275</v>
      </c>
      <c r="Y62" s="72">
        <f t="shared" si="17"/>
        <v>0.04020962480227196</v>
      </c>
      <c r="Z62" s="72">
        <f t="shared" si="18"/>
        <v>0.0402111799770807</v>
      </c>
      <c r="AA62" s="72">
        <f t="shared" si="19"/>
        <v>0.039599449617590626</v>
      </c>
      <c r="AB62" s="72">
        <f t="shared" si="20"/>
        <v>0</v>
      </c>
      <c r="AC62" s="72">
        <f t="shared" si="21"/>
        <v>0</v>
      </c>
      <c r="AD62" s="74">
        <f t="shared" si="108"/>
        <v>40</v>
      </c>
      <c r="AE62" s="73">
        <f t="shared" si="67"/>
        <v>17.660786201690687</v>
      </c>
      <c r="AF62" s="40">
        <f t="shared" si="68"/>
        <v>3.2184122386431966</v>
      </c>
      <c r="AG62" s="40">
        <f t="shared" si="104"/>
        <v>1.3936133792578766</v>
      </c>
      <c r="AH62" s="40">
        <f t="shared" si="24"/>
        <v>5.289828139927522</v>
      </c>
      <c r="AI62" s="260">
        <f t="shared" si="25"/>
        <v>1.3224570349818805</v>
      </c>
      <c r="AJ62" s="40">
        <f t="shared" si="106"/>
        <v>13.268350857795397</v>
      </c>
      <c r="AK62" s="40">
        <f t="shared" si="107"/>
        <v>-8.086145366552458</v>
      </c>
      <c r="AL62" s="261">
        <f t="shared" si="26"/>
        <v>15.538174969235532</v>
      </c>
      <c r="AM62" s="40">
        <f t="shared" si="113"/>
        <v>-13.214285497021901</v>
      </c>
      <c r="AN62" s="40">
        <f t="shared" si="114"/>
        <v>-7.189354349138666</v>
      </c>
      <c r="AO62" s="40">
        <f t="shared" si="29"/>
        <v>15.043409093496141</v>
      </c>
      <c r="AP62" s="40">
        <f t="shared" si="115"/>
        <v>0.36505078389540446</v>
      </c>
      <c r="AQ62" s="40">
        <f t="shared" si="116"/>
        <v>15.058124316186358</v>
      </c>
      <c r="AR62" s="40">
        <f t="shared" si="32"/>
        <v>15.062548589018578</v>
      </c>
      <c r="AS62" s="40">
        <f t="shared" si="33"/>
        <v>0.41911614466890046</v>
      </c>
      <c r="AT62" s="40">
        <f t="shared" si="34"/>
        <v>-0.2173753995047658</v>
      </c>
      <c r="AU62" s="40">
        <f t="shared" si="35"/>
        <v>0.47213388676516244</v>
      </c>
      <c r="AV62" s="73">
        <f t="shared" si="69"/>
        <v>227.71770111259133</v>
      </c>
      <c r="AW62" s="73">
        <f t="shared" si="70"/>
        <v>1.34874314913408</v>
      </c>
      <c r="AX62" s="73">
        <f t="shared" si="71"/>
        <v>-113.04266551726364</v>
      </c>
      <c r="AY62" s="73">
        <f t="shared" si="72"/>
        <v>-197.8458660828764</v>
      </c>
      <c r="AZ62" s="73">
        <f t="shared" si="73"/>
        <v>-115.14496582907734</v>
      </c>
      <c r="BA62" s="73">
        <f t="shared" si="74"/>
        <v>196.9473272654396</v>
      </c>
      <c r="BB62" s="73">
        <f t="shared" si="75"/>
        <v>227.72169529512513</v>
      </c>
      <c r="BC62" s="73">
        <f t="shared" si="76"/>
        <v>227.86318472568448</v>
      </c>
      <c r="BD62" s="73">
        <f t="shared" si="77"/>
        <v>228.13726761048832</v>
      </c>
      <c r="BE62" s="73">
        <f t="shared" si="36"/>
        <v>394.710171914541</v>
      </c>
      <c r="BF62" s="73">
        <f t="shared" si="37"/>
        <v>394.7987907539255</v>
      </c>
      <c r="BG62" s="73">
        <f t="shared" si="38"/>
        <v>394.73233271504</v>
      </c>
      <c r="BH62" s="73">
        <f t="shared" si="39"/>
        <v>1.3936134407811878</v>
      </c>
      <c r="BI62" s="73">
        <f t="shared" si="102"/>
        <v>1.3323467201654937</v>
      </c>
      <c r="BJ62" s="73">
        <f t="shared" si="103"/>
        <v>1.2136653496741665</v>
      </c>
      <c r="BK62" s="40">
        <f t="shared" si="78"/>
        <v>15.282801243254802</v>
      </c>
      <c r="BL62" s="40">
        <f t="shared" si="79"/>
        <v>17.40541252704019</v>
      </c>
      <c r="BM62" s="40">
        <f t="shared" si="80"/>
        <v>394.1353981823407</v>
      </c>
      <c r="BN62" s="40">
        <f t="shared" si="40"/>
        <v>1.46615045441483</v>
      </c>
      <c r="BO62" s="40">
        <f t="shared" si="109"/>
        <v>17.40541252704019</v>
      </c>
      <c r="BP62" s="40">
        <f t="shared" si="117"/>
        <v>395.5078500091938</v>
      </c>
      <c r="BQ62" s="40">
        <f t="shared" si="42"/>
        <v>1.1230374977015458</v>
      </c>
      <c r="BR62" s="40">
        <f t="shared" si="118"/>
        <v>395.49463187421725</v>
      </c>
      <c r="BS62" s="40">
        <f t="shared" si="81"/>
        <v>1.126342031445688</v>
      </c>
      <c r="BT62" s="40">
        <f t="shared" si="119"/>
        <v>395.5566622989297</v>
      </c>
      <c r="BU62" s="40">
        <f t="shared" si="45"/>
        <v>1.1108344252675693</v>
      </c>
      <c r="BV62" s="75">
        <f t="shared" si="46"/>
        <v>0.16483625000000002</v>
      </c>
      <c r="BW62" s="75">
        <f t="shared" si="47"/>
        <v>0.0194116625</v>
      </c>
      <c r="BX62" s="40">
        <f t="shared" si="110"/>
        <v>1.6729111104609007</v>
      </c>
      <c r="BY62" s="40">
        <f t="shared" si="111"/>
        <v>1.3745129007345527</v>
      </c>
      <c r="BZ62" s="61"/>
      <c r="CA62" s="73">
        <f t="shared" si="49"/>
        <v>0.4725523744516601</v>
      </c>
      <c r="CB62" s="84"/>
      <c r="CC62" s="73">
        <f t="shared" si="50"/>
        <v>8.490445135141556</v>
      </c>
      <c r="CD62" s="73">
        <f t="shared" si="91"/>
        <v>0</v>
      </c>
      <c r="CE62" s="73">
        <f t="shared" si="92"/>
        <v>0</v>
      </c>
      <c r="CF62" s="73">
        <f t="shared" si="93"/>
        <v>0</v>
      </c>
      <c r="CG62" s="73">
        <f t="shared" si="54"/>
        <v>8.490445135141556</v>
      </c>
      <c r="CH62" s="73">
        <f t="shared" si="55"/>
        <v>8.490445135141556</v>
      </c>
      <c r="CI62" s="73">
        <f t="shared" si="56"/>
        <v>8.490445135141556</v>
      </c>
      <c r="CJ62" s="76">
        <f t="shared" si="57"/>
        <v>0</v>
      </c>
      <c r="CK62" s="76">
        <f t="shared" si="82"/>
        <v>0</v>
      </c>
      <c r="CL62" s="76">
        <f t="shared" si="83"/>
        <v>20</v>
      </c>
      <c r="CM62" s="76">
        <f t="shared" si="84"/>
        <v>0</v>
      </c>
      <c r="CN62" s="40">
        <f t="shared" si="112"/>
        <v>12.99038105676658</v>
      </c>
      <c r="CO62" s="40">
        <f t="shared" si="94"/>
        <v>17.660786253020923</v>
      </c>
      <c r="CP62" s="40">
        <f t="shared" si="95"/>
        <v>17.16602037728153</v>
      </c>
      <c r="CQ62" s="40">
        <f t="shared" si="96"/>
        <v>17.185159872803965</v>
      </c>
      <c r="CR62" s="40">
        <f t="shared" si="97"/>
        <v>15.282801243254802</v>
      </c>
      <c r="CS62" s="40">
        <f t="shared" si="87"/>
        <v>15.282801243254802</v>
      </c>
      <c r="CT62" s="40">
        <f t="shared" si="61"/>
        <v>15.282801243254802</v>
      </c>
      <c r="CU62" s="40">
        <f t="shared" si="99"/>
        <v>17.40541252704019</v>
      </c>
      <c r="CV62" s="40">
        <f t="shared" si="100"/>
        <v>17.40541252704019</v>
      </c>
      <c r="CW62" s="40">
        <f t="shared" si="101"/>
        <v>17.40541252704019</v>
      </c>
      <c r="CX62" s="40">
        <f t="shared" si="88"/>
        <v>12.99038105676658</v>
      </c>
      <c r="CY62" s="40">
        <f t="shared" si="89"/>
        <v>12.99038105676658</v>
      </c>
      <c r="CZ62" s="40">
        <f t="shared" si="98"/>
        <v>12.99038105676658</v>
      </c>
      <c r="DA62" s="40">
        <f t="shared" si="66"/>
        <v>27.940598021160007</v>
      </c>
    </row>
    <row r="63" spans="1:105" ht="12.75">
      <c r="A63" s="61" t="s">
        <v>50</v>
      </c>
      <c r="B63" s="61" t="s">
        <v>48</v>
      </c>
      <c r="C63" s="61">
        <v>15</v>
      </c>
      <c r="D63" s="61" t="s">
        <v>306</v>
      </c>
      <c r="E63" s="61">
        <v>5000</v>
      </c>
      <c r="F63" s="61">
        <v>0.85</v>
      </c>
      <c r="G63" s="61" t="s">
        <v>318</v>
      </c>
      <c r="H63" s="120" t="s">
        <v>48</v>
      </c>
      <c r="I63" s="61">
        <v>1</v>
      </c>
      <c r="J63" s="61" t="s">
        <v>161</v>
      </c>
      <c r="K63" s="61">
        <v>4</v>
      </c>
      <c r="L63" s="61">
        <v>23</v>
      </c>
      <c r="M63" s="61" t="s">
        <v>161</v>
      </c>
      <c r="N63" s="61">
        <v>4</v>
      </c>
      <c r="O63" s="61">
        <v>23</v>
      </c>
      <c r="P63" s="61" t="s">
        <v>136</v>
      </c>
      <c r="Q63" s="120"/>
      <c r="R63" s="120"/>
      <c r="S63" s="120"/>
      <c r="T63" s="120"/>
      <c r="U63" s="72">
        <f t="shared" si="90"/>
        <v>0.06885</v>
      </c>
      <c r="V63" s="72">
        <f t="shared" si="14"/>
        <v>0.06885</v>
      </c>
      <c r="W63" s="73">
        <f t="shared" si="15"/>
        <v>8.490445135141556</v>
      </c>
      <c r="X63" s="72">
        <f t="shared" si="16"/>
        <v>0.07538831454122803</v>
      </c>
      <c r="Y63" s="72">
        <f t="shared" si="17"/>
        <v>0.07531695948493394</v>
      </c>
      <c r="Z63" s="72">
        <f t="shared" si="18"/>
        <v>0.07531967983474715</v>
      </c>
      <c r="AA63" s="72">
        <f t="shared" si="19"/>
        <v>0.07424888937050678</v>
      </c>
      <c r="AB63" s="72">
        <f t="shared" si="20"/>
        <v>0</v>
      </c>
      <c r="AC63" s="72">
        <f t="shared" si="21"/>
        <v>0</v>
      </c>
      <c r="AD63" s="74">
        <f t="shared" si="108"/>
        <v>23</v>
      </c>
      <c r="AE63" s="73">
        <f t="shared" si="67"/>
        <v>10.754682214589774</v>
      </c>
      <c r="AF63" s="40">
        <f t="shared" si="68"/>
        <v>3.7890189927802282</v>
      </c>
      <c r="AG63" s="40">
        <f t="shared" si="104"/>
        <v>1.640693351584702</v>
      </c>
      <c r="AH63" s="40">
        <f t="shared" si="24"/>
        <v>6.227383843890436</v>
      </c>
      <c r="AI63" s="260">
        <f t="shared" si="25"/>
        <v>1.556845960972609</v>
      </c>
      <c r="AJ63" s="40">
        <f t="shared" si="106"/>
        <v>7.3710143192817705</v>
      </c>
      <c r="AK63" s="40">
        <f t="shared" si="107"/>
        <v>-4.492304172569079</v>
      </c>
      <c r="AL63" s="261">
        <f t="shared" si="26"/>
        <v>8.632070949310974</v>
      </c>
      <c r="AM63" s="40">
        <f t="shared" si="113"/>
        <v>-7.341526807931169</v>
      </c>
      <c r="AN63" s="40">
        <f t="shared" si="114"/>
        <v>-3.9940789999272472</v>
      </c>
      <c r="AO63" s="40">
        <f t="shared" si="29"/>
        <v>8.357672099887138</v>
      </c>
      <c r="AP63" s="40">
        <f t="shared" si="115"/>
        <v>0.20295372647437304</v>
      </c>
      <c r="AQ63" s="40">
        <f t="shared" si="116"/>
        <v>8.365836751869544</v>
      </c>
      <c r="AR63" s="40">
        <f t="shared" si="32"/>
        <v>8.368298200591385</v>
      </c>
      <c r="AS63" s="40">
        <f t="shared" si="33"/>
        <v>0.2324412378249745</v>
      </c>
      <c r="AT63" s="40">
        <f t="shared" si="34"/>
        <v>-0.12054642062678234</v>
      </c>
      <c r="AU63" s="40">
        <f t="shared" si="35"/>
        <v>0.2618403493878197</v>
      </c>
      <c r="AV63" s="73">
        <f t="shared" si="69"/>
        <v>227.144754262849</v>
      </c>
      <c r="AW63" s="73">
        <f t="shared" si="70"/>
        <v>1.6963608269597175</v>
      </c>
      <c r="AX63" s="73">
        <f t="shared" si="71"/>
        <v>-112.50698254386555</v>
      </c>
      <c r="AY63" s="73">
        <f t="shared" si="72"/>
        <v>-197.53609375881013</v>
      </c>
      <c r="AZ63" s="73">
        <f t="shared" si="73"/>
        <v>-115.17751074252907</v>
      </c>
      <c r="BA63" s="73">
        <f t="shared" si="74"/>
        <v>196.32616555758818</v>
      </c>
      <c r="BB63" s="73">
        <f t="shared" si="75"/>
        <v>227.1510885494175</v>
      </c>
      <c r="BC63" s="73">
        <f t="shared" si="76"/>
        <v>227.32868155737648</v>
      </c>
      <c r="BD63" s="73">
        <f t="shared" si="77"/>
        <v>227.61771078585016</v>
      </c>
      <c r="BE63" s="73">
        <f t="shared" si="36"/>
        <v>393.7726162090103</v>
      </c>
      <c r="BF63" s="73">
        <f t="shared" si="37"/>
        <v>393.87131278461703</v>
      </c>
      <c r="BG63" s="73">
        <f t="shared" si="38"/>
        <v>393.7833084424667</v>
      </c>
      <c r="BH63" s="73">
        <f t="shared" si="39"/>
        <v>1.6406934094579777</v>
      </c>
      <c r="BI63" s="73">
        <f t="shared" si="102"/>
        <v>1.563793381244489</v>
      </c>
      <c r="BJ63" s="73">
        <f t="shared" si="103"/>
        <v>1.4386400540972772</v>
      </c>
      <c r="BK63" s="40">
        <f t="shared" si="78"/>
        <v>8.490445135141556</v>
      </c>
      <c r="BL63" s="40">
        <f t="shared" si="79"/>
        <v>10.613056418926945</v>
      </c>
      <c r="BM63" s="40">
        <f t="shared" si="80"/>
        <v>393.27477318234065</v>
      </c>
      <c r="BN63" s="40">
        <f t="shared" si="40"/>
        <v>1.6813067044148369</v>
      </c>
      <c r="BO63" s="40">
        <f t="shared" si="109"/>
        <v>10.613056418926945</v>
      </c>
      <c r="BP63" s="40">
        <f t="shared" si="117"/>
        <v>394.6472250091938</v>
      </c>
      <c r="BQ63" s="40">
        <f t="shared" si="42"/>
        <v>1.3381937477015526</v>
      </c>
      <c r="BR63" s="40">
        <f t="shared" si="118"/>
        <v>394.6340068742172</v>
      </c>
      <c r="BS63" s="40">
        <f t="shared" si="81"/>
        <v>1.3414982814456948</v>
      </c>
      <c r="BT63" s="40">
        <f t="shared" si="119"/>
        <v>394.6960372989297</v>
      </c>
      <c r="BU63" s="40">
        <f t="shared" si="45"/>
        <v>1.325990675267576</v>
      </c>
      <c r="BV63" s="75">
        <f t="shared" si="46"/>
        <v>0.23368625</v>
      </c>
      <c r="BW63" s="75">
        <f t="shared" si="47"/>
        <v>0.0194116625</v>
      </c>
      <c r="BX63" s="40">
        <f t="shared" si="110"/>
        <v>1.3374826588452917</v>
      </c>
      <c r="BY63" s="40">
        <f t="shared" si="111"/>
        <v>0.549805160293821</v>
      </c>
      <c r="BZ63" s="61"/>
      <c r="CA63" s="73">
        <f t="shared" si="49"/>
        <v>0.11828763359876564</v>
      </c>
      <c r="CB63" s="84"/>
      <c r="CC63" s="73">
        <f t="shared" si="50"/>
        <v>8.490445135141556</v>
      </c>
      <c r="CD63" s="73">
        <f t="shared" si="91"/>
        <v>1</v>
      </c>
      <c r="CE63" s="73">
        <f t="shared" si="92"/>
        <v>1</v>
      </c>
      <c r="CF63" s="73">
        <f t="shared" si="93"/>
        <v>1</v>
      </c>
      <c r="CG63" s="73">
        <f t="shared" si="54"/>
        <v>8.490445135141556</v>
      </c>
      <c r="CH63" s="73">
        <f t="shared" si="55"/>
        <v>8.490445135141556</v>
      </c>
      <c r="CI63" s="73">
        <f t="shared" si="56"/>
        <v>8.490445135141556</v>
      </c>
      <c r="CJ63" s="76">
        <f t="shared" si="57"/>
        <v>0</v>
      </c>
      <c r="CK63" s="76">
        <f t="shared" si="82"/>
        <v>0</v>
      </c>
      <c r="CL63" s="76">
        <f t="shared" si="83"/>
        <v>15</v>
      </c>
      <c r="CM63" s="76">
        <f t="shared" si="84"/>
        <v>0</v>
      </c>
      <c r="CN63" s="40">
        <f t="shared" si="112"/>
        <v>7.216878364870323</v>
      </c>
      <c r="CO63" s="40">
        <f t="shared" si="94"/>
        <v>10.754682233096363</v>
      </c>
      <c r="CP63" s="40">
        <f t="shared" si="95"/>
        <v>10.480283383672527</v>
      </c>
      <c r="CQ63" s="40">
        <f t="shared" si="96"/>
        <v>10.490909484376774</v>
      </c>
      <c r="CR63" s="40">
        <f t="shared" si="97"/>
        <v>8.490445135141556</v>
      </c>
      <c r="CS63" s="40">
        <f t="shared" si="87"/>
        <v>8.490445135141556</v>
      </c>
      <c r="CT63" s="40">
        <f t="shared" si="61"/>
        <v>8.490445135141556</v>
      </c>
      <c r="CU63" s="40">
        <f t="shared" si="99"/>
        <v>10.613056418926945</v>
      </c>
      <c r="CV63" s="40">
        <f t="shared" si="100"/>
        <v>10.613056418926945</v>
      </c>
      <c r="CW63" s="40">
        <f t="shared" si="101"/>
        <v>10.613056418926945</v>
      </c>
      <c r="CX63" s="40">
        <f t="shared" si="88"/>
        <v>7.216878364870323</v>
      </c>
      <c r="CY63" s="40">
        <f t="shared" si="89"/>
        <v>7.216878364870323</v>
      </c>
      <c r="CZ63" s="40">
        <f t="shared" si="98"/>
        <v>7.216878364870323</v>
      </c>
      <c r="DA63" s="40">
        <f t="shared" si="66"/>
        <v>16.152841846898614</v>
      </c>
    </row>
    <row r="64" spans="1:105" ht="12.75">
      <c r="A64" s="61" t="s">
        <v>50</v>
      </c>
      <c r="B64" s="61" t="s">
        <v>51</v>
      </c>
      <c r="C64" s="61">
        <v>12</v>
      </c>
      <c r="D64" s="61" t="s">
        <v>306</v>
      </c>
      <c r="E64" s="61">
        <v>4000</v>
      </c>
      <c r="F64" s="61">
        <v>0.85</v>
      </c>
      <c r="G64" s="61" t="s">
        <v>318</v>
      </c>
      <c r="H64" s="120" t="s">
        <v>51</v>
      </c>
      <c r="I64" s="61">
        <v>1</v>
      </c>
      <c r="J64" s="61" t="s">
        <v>161</v>
      </c>
      <c r="K64" s="61">
        <v>2.5</v>
      </c>
      <c r="L64" s="61">
        <v>17.5</v>
      </c>
      <c r="M64" s="61" t="s">
        <v>161</v>
      </c>
      <c r="N64" s="61">
        <v>2.5</v>
      </c>
      <c r="O64" s="61">
        <v>17.5</v>
      </c>
      <c r="P64" s="61" t="s">
        <v>136</v>
      </c>
      <c r="Q64" s="120"/>
      <c r="R64" s="120"/>
      <c r="S64" s="120"/>
      <c r="T64" s="120"/>
      <c r="U64" s="72">
        <f t="shared" si="90"/>
        <v>0.088128</v>
      </c>
      <c r="V64" s="72">
        <f t="shared" si="14"/>
        <v>0.088128</v>
      </c>
      <c r="W64" s="73">
        <f t="shared" si="15"/>
        <v>6.792356108113245</v>
      </c>
      <c r="X64" s="72">
        <f t="shared" si="16"/>
        <v>0.0966512643431934</v>
      </c>
      <c r="Y64" s="72">
        <f t="shared" si="17"/>
        <v>0.09654990355940268</v>
      </c>
      <c r="Z64" s="72">
        <f t="shared" si="18"/>
        <v>0.0965537583319839</v>
      </c>
      <c r="AA64" s="72">
        <f t="shared" si="19"/>
        <v>0.0950387317693561</v>
      </c>
      <c r="AB64" s="72">
        <f t="shared" si="20"/>
        <v>0</v>
      </c>
      <c r="AC64" s="72">
        <f t="shared" si="21"/>
        <v>0</v>
      </c>
      <c r="AD64" s="74">
        <f t="shared" si="108"/>
        <v>17.5</v>
      </c>
      <c r="AE64" s="73">
        <f t="shared" si="67"/>
        <v>8.60419306850099</v>
      </c>
      <c r="AF64" s="40">
        <f t="shared" si="68"/>
        <v>3.803731189314277</v>
      </c>
      <c r="AG64" s="40">
        <f t="shared" si="104"/>
        <v>1.6470639195566799</v>
      </c>
      <c r="AH64" s="40">
        <f t="shared" si="24"/>
        <v>6.251347720685203</v>
      </c>
      <c r="AI64" s="260">
        <f t="shared" si="25"/>
        <v>1.5628369301713008</v>
      </c>
      <c r="AJ64" s="40">
        <f t="shared" si="106"/>
        <v>5.8973365135802</v>
      </c>
      <c r="AK64" s="40">
        <f t="shared" si="107"/>
        <v>-3.5938412988942963</v>
      </c>
      <c r="AL64" s="261">
        <f t="shared" si="26"/>
        <v>6.9061040562711264</v>
      </c>
      <c r="AM64" s="40">
        <f t="shared" si="113"/>
        <v>-5.872758774383733</v>
      </c>
      <c r="AN64" s="40">
        <f t="shared" si="114"/>
        <v>-3.1952754145895126</v>
      </c>
      <c r="AO64" s="40">
        <f t="shared" si="29"/>
        <v>6.685737102009121</v>
      </c>
      <c r="AP64" s="40">
        <f t="shared" si="115"/>
        <v>0.1620969752057491</v>
      </c>
      <c r="AQ64" s="40">
        <f t="shared" si="116"/>
        <v>6.692287500208502</v>
      </c>
      <c r="AR64" s="40">
        <f t="shared" si="32"/>
        <v>6.694250325078815</v>
      </c>
      <c r="AS64" s="40">
        <f t="shared" si="33"/>
        <v>0.18667471440221564</v>
      </c>
      <c r="AT64" s="40">
        <f t="shared" si="34"/>
        <v>-0.09682921327530725</v>
      </c>
      <c r="AU64" s="40">
        <f t="shared" si="35"/>
        <v>0.21029347479335567</v>
      </c>
      <c r="AV64" s="73">
        <f t="shared" si="69"/>
        <v>227.12997475418632</v>
      </c>
      <c r="AW64" s="73">
        <f t="shared" si="70"/>
        <v>1.705294980148908</v>
      </c>
      <c r="AX64" s="73">
        <f t="shared" si="71"/>
        <v>-112.49339255207944</v>
      </c>
      <c r="AY64" s="73">
        <f t="shared" si="72"/>
        <v>-197.52816002412416</v>
      </c>
      <c r="AZ64" s="73">
        <f t="shared" si="73"/>
        <v>-115.17835822935788</v>
      </c>
      <c r="BA64" s="73">
        <f t="shared" si="74"/>
        <v>196.31036428108422</v>
      </c>
      <c r="BB64" s="73">
        <f t="shared" si="75"/>
        <v>227.13637635307703</v>
      </c>
      <c r="BC64" s="73">
        <f t="shared" si="76"/>
        <v>227.31506190833954</v>
      </c>
      <c r="BD64" s="73">
        <f t="shared" si="77"/>
        <v>227.60451078259032</v>
      </c>
      <c r="BE64" s="73">
        <f t="shared" si="36"/>
        <v>393.74865233215263</v>
      </c>
      <c r="BF64" s="73">
        <f t="shared" si="37"/>
        <v>393.84767647860053</v>
      </c>
      <c r="BG64" s="73">
        <f t="shared" si="38"/>
        <v>393.7589717423526</v>
      </c>
      <c r="BH64" s="73">
        <f t="shared" si="39"/>
        <v>1.6470639773461329</v>
      </c>
      <c r="BI64" s="73">
        <f t="shared" si="102"/>
        <v>1.5696908622727983</v>
      </c>
      <c r="BJ64" s="73">
        <f t="shared" si="103"/>
        <v>1.4443558231738067</v>
      </c>
      <c r="BK64" s="40">
        <f t="shared" si="78"/>
        <v>6.792356108113245</v>
      </c>
      <c r="BL64" s="40">
        <f t="shared" si="79"/>
        <v>8.490445135141556</v>
      </c>
      <c r="BM64" s="40">
        <f t="shared" si="80"/>
        <v>393.2541181823407</v>
      </c>
      <c r="BN64" s="40">
        <f t="shared" si="40"/>
        <v>1.686470454414831</v>
      </c>
      <c r="BO64" s="40">
        <f t="shared" si="109"/>
        <v>8.490445135141556</v>
      </c>
      <c r="BP64" s="40">
        <f t="shared" si="117"/>
        <v>394.6265700091938</v>
      </c>
      <c r="BQ64" s="40">
        <f t="shared" si="42"/>
        <v>1.3433574977015468</v>
      </c>
      <c r="BR64" s="40">
        <f t="shared" si="118"/>
        <v>394.61335187421724</v>
      </c>
      <c r="BS64" s="40">
        <f t="shared" si="81"/>
        <v>1.346662031445689</v>
      </c>
      <c r="BT64" s="40">
        <f t="shared" si="119"/>
        <v>394.6753822989297</v>
      </c>
      <c r="BU64" s="40">
        <f t="shared" si="45"/>
        <v>1.3311544252675702</v>
      </c>
      <c r="BV64" s="75">
        <f t="shared" si="46"/>
        <v>0.25296425</v>
      </c>
      <c r="BW64" s="75">
        <f t="shared" si="47"/>
        <v>0.0194116625</v>
      </c>
      <c r="BX64" s="40">
        <f t="shared" si="110"/>
        <v>1.3374826588452917</v>
      </c>
      <c r="BY64" s="40">
        <f t="shared" si="111"/>
        <v>0.34362822518363817</v>
      </c>
      <c r="BZ64" s="61"/>
      <c r="CA64" s="73">
        <f t="shared" si="49"/>
        <v>0.04620610687451782</v>
      </c>
      <c r="CB64" s="84"/>
      <c r="CC64" s="73">
        <f t="shared" si="50"/>
        <v>6.792356108113245</v>
      </c>
      <c r="CD64" s="73">
        <f t="shared" si="91"/>
        <v>1</v>
      </c>
      <c r="CE64" s="73">
        <f t="shared" si="92"/>
        <v>1</v>
      </c>
      <c r="CF64" s="73">
        <f t="shared" si="93"/>
        <v>1</v>
      </c>
      <c r="CG64" s="73">
        <f t="shared" si="54"/>
        <v>6.792356108113245</v>
      </c>
      <c r="CH64" s="73">
        <f t="shared" si="55"/>
        <v>6.792356108113245</v>
      </c>
      <c r="CI64" s="73">
        <f t="shared" si="56"/>
        <v>6.792356108113245</v>
      </c>
      <c r="CJ64" s="76">
        <f t="shared" si="57"/>
        <v>0</v>
      </c>
      <c r="CK64" s="76">
        <f t="shared" si="82"/>
        <v>0</v>
      </c>
      <c r="CL64" s="76">
        <f t="shared" si="83"/>
        <v>12</v>
      </c>
      <c r="CM64" s="76">
        <f t="shared" si="84"/>
        <v>0</v>
      </c>
      <c r="CN64" s="40">
        <f t="shared" si="112"/>
        <v>5.773502691896258</v>
      </c>
      <c r="CO64" s="40">
        <f t="shared" si="94"/>
        <v>8.604193083299437</v>
      </c>
      <c r="CP64" s="40">
        <f t="shared" si="95"/>
        <v>8.38382612903743</v>
      </c>
      <c r="CQ64" s="40">
        <f t="shared" si="96"/>
        <v>8.392339352107125</v>
      </c>
      <c r="CR64" s="40">
        <f t="shared" si="97"/>
        <v>6.792356108113245</v>
      </c>
      <c r="CS64" s="40">
        <f t="shared" si="87"/>
        <v>6.792356108113245</v>
      </c>
      <c r="CT64" s="40">
        <f t="shared" si="61"/>
        <v>6.792356108113245</v>
      </c>
      <c r="CU64" s="40">
        <f t="shared" si="99"/>
        <v>8.490445135141556</v>
      </c>
      <c r="CV64" s="40">
        <f t="shared" si="100"/>
        <v>8.490445135141556</v>
      </c>
      <c r="CW64" s="40">
        <f t="shared" si="101"/>
        <v>8.490445135141556</v>
      </c>
      <c r="CX64" s="40">
        <f t="shared" si="88"/>
        <v>5.773502691896258</v>
      </c>
      <c r="CY64" s="40">
        <f t="shared" si="89"/>
        <v>5.773502691896258</v>
      </c>
      <c r="CZ64" s="40">
        <f t="shared" si="98"/>
        <v>5.773502691896258</v>
      </c>
      <c r="DA64" s="40">
        <f t="shared" si="66"/>
        <v>13.252266088029812</v>
      </c>
    </row>
    <row r="65" spans="1:105" ht="12.75">
      <c r="A65" s="61" t="s">
        <v>49</v>
      </c>
      <c r="B65" s="61" t="s">
        <v>52</v>
      </c>
      <c r="C65" s="61">
        <v>15</v>
      </c>
      <c r="D65" s="61"/>
      <c r="E65" s="61"/>
      <c r="F65" s="61"/>
      <c r="G65" s="61"/>
      <c r="H65" s="120"/>
      <c r="I65" s="61">
        <v>1</v>
      </c>
      <c r="J65" s="61" t="s">
        <v>161</v>
      </c>
      <c r="K65" s="61">
        <v>2.5</v>
      </c>
      <c r="L65" s="61">
        <v>15</v>
      </c>
      <c r="M65" s="61" t="s">
        <v>161</v>
      </c>
      <c r="N65" s="61">
        <v>2.5</v>
      </c>
      <c r="O65" s="61">
        <v>15</v>
      </c>
      <c r="P65" s="61" t="s">
        <v>138</v>
      </c>
      <c r="Q65" s="120"/>
      <c r="R65" s="120"/>
      <c r="S65" s="120"/>
      <c r="T65" s="120"/>
      <c r="U65" s="72">
        <f t="shared" si="90"/>
        <v>0.11016</v>
      </c>
      <c r="V65" s="72">
        <f t="shared" si="14"/>
        <v>0.11016</v>
      </c>
      <c r="W65" s="73">
        <f t="shared" si="15"/>
        <v>0</v>
      </c>
      <c r="X65" s="72">
        <f t="shared" si="16"/>
        <v>0.11921717549466786</v>
      </c>
      <c r="Y65" s="72">
        <f t="shared" si="17"/>
        <v>0.11921753141072187</v>
      </c>
      <c r="Z65" s="72">
        <f t="shared" si="18"/>
        <v>0.11921798738710188</v>
      </c>
      <c r="AA65" s="72">
        <f t="shared" si="19"/>
        <v>0.1187965452809957</v>
      </c>
      <c r="AB65" s="72">
        <f t="shared" si="20"/>
        <v>0</v>
      </c>
      <c r="AC65" s="72">
        <f t="shared" si="21"/>
        <v>0</v>
      </c>
      <c r="AD65" s="74">
        <f t="shared" si="108"/>
        <v>15</v>
      </c>
      <c r="AE65" s="73">
        <f t="shared" si="67"/>
        <v>2.705485784817859</v>
      </c>
      <c r="AF65" s="40">
        <f t="shared" si="68"/>
        <v>2.9343651095620658</v>
      </c>
      <c r="AG65" s="40">
        <f t="shared" si="104"/>
        <v>1.270617364429728</v>
      </c>
      <c r="AH65" s="40">
        <f t="shared" si="24"/>
        <v>4.847471802348252</v>
      </c>
      <c r="AI65" s="260">
        <f t="shared" si="25"/>
        <v>1.211867950587063</v>
      </c>
      <c r="AJ65" s="40">
        <f t="shared" si="106"/>
        <v>2.231230055446786</v>
      </c>
      <c r="AK65" s="40">
        <f t="shared" si="107"/>
        <v>-1.525504744556131</v>
      </c>
      <c r="AL65" s="261">
        <f t="shared" si="26"/>
        <v>2.7028785185413593</v>
      </c>
      <c r="AM65" s="40">
        <f t="shared" si="113"/>
        <v>-2.438773460879357</v>
      </c>
      <c r="AN65" s="40">
        <f t="shared" si="114"/>
        <v>-1.1679546337852107</v>
      </c>
      <c r="AO65" s="40">
        <f t="shared" si="29"/>
        <v>2.704021823149699</v>
      </c>
      <c r="AP65" s="40">
        <f t="shared" si="115"/>
        <v>0.20542835563204376</v>
      </c>
      <c r="AQ65" s="40">
        <f t="shared" si="116"/>
        <v>2.6976753985028417</v>
      </c>
      <c r="AR65" s="40">
        <f t="shared" si="32"/>
        <v>2.7054857909412777</v>
      </c>
      <c r="AS65" s="40">
        <f t="shared" si="33"/>
        <v>-0.0021150498005275686</v>
      </c>
      <c r="AT65" s="40">
        <f t="shared" si="34"/>
        <v>0.004216020161500023</v>
      </c>
      <c r="AU65" s="40">
        <f t="shared" si="35"/>
        <v>0.004716806298851627</v>
      </c>
      <c r="AV65" s="73">
        <f t="shared" si="69"/>
        <v>228.00260544115105</v>
      </c>
      <c r="AW65" s="73">
        <f t="shared" si="70"/>
        <v>1.196029639013663</v>
      </c>
      <c r="AX65" s="73">
        <f t="shared" si="71"/>
        <v>-113.26641439818884</v>
      </c>
      <c r="AY65" s="73">
        <f t="shared" si="72"/>
        <v>-198.0048154503971</v>
      </c>
      <c r="AZ65" s="73">
        <f t="shared" si="73"/>
        <v>-115.13792943215189</v>
      </c>
      <c r="BA65" s="73">
        <f t="shared" si="74"/>
        <v>197.222111985991</v>
      </c>
      <c r="BB65" s="73">
        <f t="shared" si="75"/>
        <v>228.0057424163931</v>
      </c>
      <c r="BC65" s="73">
        <f t="shared" si="76"/>
        <v>228.11222582792018</v>
      </c>
      <c r="BD65" s="73">
        <f t="shared" si="77"/>
        <v>228.37097943945935</v>
      </c>
      <c r="BE65" s="73">
        <f t="shared" si="36"/>
        <v>395.1525282551526</v>
      </c>
      <c r="BF65" s="73">
        <f t="shared" si="37"/>
        <v>395.23135849693193</v>
      </c>
      <c r="BG65" s="73">
        <f t="shared" si="38"/>
        <v>395.1855913788361</v>
      </c>
      <c r="BH65" s="73">
        <f t="shared" si="39"/>
        <v>1.2706174293362353</v>
      </c>
      <c r="BI65" s="73">
        <f t="shared" si="102"/>
        <v>1.2245087596041935</v>
      </c>
      <c r="BJ65" s="73">
        <f t="shared" si="103"/>
        <v>1.1124651591472507</v>
      </c>
      <c r="BK65" s="40">
        <f t="shared" si="78"/>
        <v>9.093266739736604</v>
      </c>
      <c r="BL65" s="40">
        <f t="shared" si="79"/>
        <v>9.093266739736604</v>
      </c>
      <c r="BM65" s="40">
        <f t="shared" si="80"/>
        <v>393.6727261823406</v>
      </c>
      <c r="BN65" s="40">
        <f t="shared" si="40"/>
        <v>1.5818184544148437</v>
      </c>
      <c r="BO65" s="40">
        <f t="shared" si="109"/>
        <v>3.0310889132455348</v>
      </c>
      <c r="BP65" s="40">
        <f t="shared" si="117"/>
        <v>395.9044260091938</v>
      </c>
      <c r="BQ65" s="40">
        <f t="shared" si="42"/>
        <v>1.0238934977015504</v>
      </c>
      <c r="BR65" s="40">
        <f t="shared" si="118"/>
        <v>395.89120787421723</v>
      </c>
      <c r="BS65" s="40">
        <f t="shared" si="81"/>
        <v>1.0271980314456925</v>
      </c>
      <c r="BT65" s="40">
        <f t="shared" si="119"/>
        <v>395.9532382989297</v>
      </c>
      <c r="BU65" s="40">
        <f t="shared" si="45"/>
        <v>1.0116904252675738</v>
      </c>
      <c r="BV65" s="75">
        <f t="shared" si="46"/>
        <v>0.23827625000000002</v>
      </c>
      <c r="BW65" s="75">
        <f t="shared" si="47"/>
        <v>0.0194116625</v>
      </c>
      <c r="BX65" s="40">
        <f t="shared" si="110"/>
        <v>1.6729111104609002</v>
      </c>
      <c r="BY65" s="40">
        <f t="shared" si="111"/>
        <v>0.34362822518363817</v>
      </c>
      <c r="BZ65" s="61"/>
      <c r="CA65" s="73">
        <f t="shared" si="49"/>
        <v>0.029534523403228777</v>
      </c>
      <c r="CB65" s="84"/>
      <c r="CC65" s="73">
        <f t="shared" si="50"/>
        <v>0</v>
      </c>
      <c r="CD65" s="73">
        <f t="shared" si="91"/>
        <v>0</v>
      </c>
      <c r="CE65" s="73">
        <f t="shared" si="92"/>
        <v>0</v>
      </c>
      <c r="CF65" s="73">
        <f t="shared" si="93"/>
        <v>0</v>
      </c>
      <c r="CG65" s="73">
        <f t="shared" si="54"/>
        <v>0</v>
      </c>
      <c r="CH65" s="73">
        <f t="shared" si="55"/>
        <v>0</v>
      </c>
      <c r="CI65" s="73">
        <f t="shared" si="56"/>
        <v>0</v>
      </c>
      <c r="CJ65" s="76">
        <f t="shared" si="57"/>
        <v>45</v>
      </c>
      <c r="CK65" s="76">
        <f t="shared" si="82"/>
        <v>0</v>
      </c>
      <c r="CL65" s="76">
        <f t="shared" si="83"/>
        <v>0</v>
      </c>
      <c r="CM65" s="76">
        <f t="shared" si="84"/>
        <v>0</v>
      </c>
      <c r="CN65" s="40">
        <f t="shared" si="112"/>
        <v>6.75499814951862</v>
      </c>
      <c r="CO65" s="40">
        <f t="shared" si="94"/>
        <v>2.7028785185413593</v>
      </c>
      <c r="CP65" s="40">
        <f t="shared" si="95"/>
        <v>2.704021823149699</v>
      </c>
      <c r="CQ65" s="40">
        <f t="shared" si="96"/>
        <v>2.7054857909412777</v>
      </c>
      <c r="CR65" s="40">
        <f t="shared" si="97"/>
        <v>3.0310889132455348</v>
      </c>
      <c r="CS65" s="40">
        <f t="shared" si="87"/>
        <v>3.0310889132455348</v>
      </c>
      <c r="CT65" s="40">
        <f t="shared" si="61"/>
        <v>3.0310889132455348</v>
      </c>
      <c r="CU65" s="40">
        <f t="shared" si="99"/>
        <v>3.0310889132455348</v>
      </c>
      <c r="CV65" s="40">
        <f t="shared" si="100"/>
        <v>3.0310889132455348</v>
      </c>
      <c r="CW65" s="40">
        <f t="shared" si="101"/>
        <v>3.0310889132455348</v>
      </c>
      <c r="CX65" s="40">
        <f t="shared" si="88"/>
        <v>2.25166604983954</v>
      </c>
      <c r="CY65" s="40">
        <f t="shared" si="89"/>
        <v>2.25166604983954</v>
      </c>
      <c r="CZ65" s="40">
        <f t="shared" si="98"/>
        <v>2.25166604983954</v>
      </c>
      <c r="DA65" s="40">
        <f t="shared" si="66"/>
        <v>2.6152685317138955</v>
      </c>
    </row>
    <row r="66" spans="1:105" ht="12.75">
      <c r="A66" s="61" t="s">
        <v>52</v>
      </c>
      <c r="B66" s="61" t="s">
        <v>53</v>
      </c>
      <c r="C66" s="61">
        <v>10</v>
      </c>
      <c r="D66" s="61" t="s">
        <v>303</v>
      </c>
      <c r="E66" s="61">
        <v>250</v>
      </c>
      <c r="F66" s="61">
        <v>1</v>
      </c>
      <c r="G66" s="61" t="s">
        <v>320</v>
      </c>
      <c r="H66" s="120"/>
      <c r="I66" s="61">
        <v>1</v>
      </c>
      <c r="J66" s="61" t="s">
        <v>161</v>
      </c>
      <c r="K66" s="61">
        <v>2.5</v>
      </c>
      <c r="L66" s="61">
        <v>15</v>
      </c>
      <c r="M66" s="61" t="s">
        <v>161</v>
      </c>
      <c r="N66" s="61">
        <v>2.5</v>
      </c>
      <c r="O66" s="61">
        <v>15</v>
      </c>
      <c r="P66" s="61" t="s">
        <v>138</v>
      </c>
      <c r="Q66" s="120"/>
      <c r="R66" s="120"/>
      <c r="S66" s="120"/>
      <c r="T66" s="120"/>
      <c r="U66" s="72">
        <f t="shared" si="90"/>
        <v>0.07343999999999999</v>
      </c>
      <c r="V66" s="72">
        <f t="shared" si="14"/>
        <v>0.07343999999999999</v>
      </c>
      <c r="W66" s="73">
        <f t="shared" si="15"/>
        <v>1.0825317547305482</v>
      </c>
      <c r="X66" s="72">
        <f t="shared" si="16"/>
        <v>0.07924150964227783</v>
      </c>
      <c r="Y66" s="72">
        <f t="shared" si="17"/>
        <v>0.07924152614928415</v>
      </c>
      <c r="Z66" s="72">
        <f t="shared" si="18"/>
        <v>0.07924159295220244</v>
      </c>
      <c r="AA66" s="72">
        <f t="shared" si="19"/>
        <v>0.07919769614279187</v>
      </c>
      <c r="AB66" s="72">
        <f t="shared" si="20"/>
        <v>0</v>
      </c>
      <c r="AC66" s="72">
        <f t="shared" si="21"/>
        <v>0</v>
      </c>
      <c r="AD66" s="74">
        <f t="shared" si="108"/>
        <v>15</v>
      </c>
      <c r="AE66" s="73">
        <f t="shared" si="67"/>
        <v>1.0693957358410304</v>
      </c>
      <c r="AF66" s="40">
        <f t="shared" si="68"/>
        <v>3.018939890554037</v>
      </c>
      <c r="AG66" s="40">
        <f t="shared" si="104"/>
        <v>1.3072393188590044</v>
      </c>
      <c r="AH66" s="40">
        <f t="shared" si="24"/>
        <v>4.994167344440939</v>
      </c>
      <c r="AI66" s="260">
        <f t="shared" si="25"/>
        <v>1.2485418361102347</v>
      </c>
      <c r="AJ66" s="40">
        <f t="shared" si="106"/>
        <v>1.068365777980978</v>
      </c>
      <c r="AK66" s="40">
        <f t="shared" si="107"/>
        <v>0.00560371750160305</v>
      </c>
      <c r="AL66" s="261">
        <f t="shared" si="26"/>
        <v>1.068380473993576</v>
      </c>
      <c r="AM66" s="40">
        <f t="shared" si="113"/>
        <v>-0.5304417449291347</v>
      </c>
      <c r="AN66" s="40">
        <f t="shared" si="114"/>
        <v>-0.9276305651987199</v>
      </c>
      <c r="AO66" s="40">
        <f t="shared" si="29"/>
        <v>1.0685817283925276</v>
      </c>
      <c r="AP66" s="40">
        <f t="shared" si="115"/>
        <v>-0.5390094814580533</v>
      </c>
      <c r="AQ66" s="40">
        <f t="shared" si="116"/>
        <v>0.9236211373084963</v>
      </c>
      <c r="AR66" s="40">
        <f t="shared" si="32"/>
        <v>1.069395729552311</v>
      </c>
      <c r="AS66" s="40">
        <f t="shared" si="33"/>
        <v>-0.0010854484062098324</v>
      </c>
      <c r="AT66" s="40">
        <f t="shared" si="34"/>
        <v>0.001594289611379418</v>
      </c>
      <c r="AU66" s="40">
        <f t="shared" si="35"/>
        <v>0.0019287191624225133</v>
      </c>
      <c r="AV66" s="73">
        <f t="shared" si="69"/>
        <v>227.91803248906675</v>
      </c>
      <c r="AW66" s="73">
        <f t="shared" si="70"/>
        <v>1.1954593279150216</v>
      </c>
      <c r="AX66" s="73">
        <f t="shared" si="71"/>
        <v>-113.22429541977431</v>
      </c>
      <c r="AY66" s="73">
        <f t="shared" si="72"/>
        <v>-197.9314348527722</v>
      </c>
      <c r="AZ66" s="73">
        <f t="shared" si="73"/>
        <v>-115.09513149721175</v>
      </c>
      <c r="BA66" s="73">
        <f t="shared" si="74"/>
        <v>197.14879651172217</v>
      </c>
      <c r="BB66" s="73">
        <f t="shared" si="75"/>
        <v>227.9211676362948</v>
      </c>
      <c r="BC66" s="73">
        <f t="shared" si="76"/>
        <v>228.0276166962711</v>
      </c>
      <c r="BD66" s="73">
        <f t="shared" si="77"/>
        <v>228.28608643625415</v>
      </c>
      <c r="BE66" s="73">
        <f t="shared" si="36"/>
        <v>395.0058327127713</v>
      </c>
      <c r="BF66" s="73">
        <f t="shared" si="37"/>
        <v>395.08466085467177</v>
      </c>
      <c r="BG66" s="73">
        <f t="shared" si="38"/>
        <v>395.0389107687348</v>
      </c>
      <c r="BH66" s="73">
        <f t="shared" si="39"/>
        <v>1.3072393833785438</v>
      </c>
      <c r="BI66" s="73">
        <f t="shared" si="102"/>
        <v>1.2611455883043134</v>
      </c>
      <c r="BJ66" s="73">
        <f t="shared" si="103"/>
        <v>1.1492249078368773</v>
      </c>
      <c r="BK66" s="40">
        <f t="shared" si="78"/>
        <v>3.2475952641916446</v>
      </c>
      <c r="BL66" s="40">
        <f t="shared" si="79"/>
        <v>3.2475952641916446</v>
      </c>
      <c r="BM66" s="40">
        <f t="shared" si="80"/>
        <v>393.25962618234064</v>
      </c>
      <c r="BN66" s="40">
        <f t="shared" si="40"/>
        <v>1.6850934544148402</v>
      </c>
      <c r="BO66" s="40">
        <f t="shared" si="109"/>
        <v>1.0825317547305482</v>
      </c>
      <c r="BP66" s="40">
        <f t="shared" si="117"/>
        <v>395.7667260091938</v>
      </c>
      <c r="BQ66" s="40">
        <f t="shared" si="42"/>
        <v>1.0583184977015492</v>
      </c>
      <c r="BR66" s="40">
        <f t="shared" si="118"/>
        <v>395.75350787421723</v>
      </c>
      <c r="BS66" s="40">
        <f t="shared" si="81"/>
        <v>1.0616230314456914</v>
      </c>
      <c r="BT66" s="40">
        <f t="shared" si="119"/>
        <v>395.8155382989297</v>
      </c>
      <c r="BU66" s="40">
        <f t="shared" si="45"/>
        <v>1.0461154252675726</v>
      </c>
      <c r="BV66" s="75">
        <f t="shared" si="46"/>
        <v>0.31171625000000003</v>
      </c>
      <c r="BW66" s="75">
        <f t="shared" si="47"/>
        <v>0.0194116625</v>
      </c>
      <c r="BX66" s="40">
        <f t="shared" si="110"/>
        <v>0.9474093798008791</v>
      </c>
      <c r="BY66" s="40">
        <f t="shared" si="111"/>
        <v>0.34362822518363817</v>
      </c>
      <c r="BZ66" s="61"/>
      <c r="CA66" s="73">
        <f t="shared" si="49"/>
        <v>0.09208742682959596</v>
      </c>
      <c r="CB66" s="84"/>
      <c r="CC66" s="73">
        <f t="shared" si="50"/>
        <v>0</v>
      </c>
      <c r="CD66" s="73">
        <f t="shared" si="91"/>
        <v>1</v>
      </c>
      <c r="CE66" s="73">
        <f t="shared" si="92"/>
        <v>0</v>
      </c>
      <c r="CF66" s="73">
        <f t="shared" si="93"/>
        <v>0</v>
      </c>
      <c r="CG66" s="73">
        <f t="shared" si="54"/>
        <v>0</v>
      </c>
      <c r="CH66" s="73">
        <f t="shared" si="55"/>
        <v>0</v>
      </c>
      <c r="CI66" s="73">
        <f t="shared" si="56"/>
        <v>0</v>
      </c>
      <c r="CJ66" s="76">
        <f t="shared" si="57"/>
        <v>30</v>
      </c>
      <c r="CK66" s="76">
        <f t="shared" si="82"/>
        <v>0</v>
      </c>
      <c r="CL66" s="76">
        <f t="shared" si="83"/>
        <v>0</v>
      </c>
      <c r="CM66" s="76">
        <f t="shared" si="84"/>
        <v>0</v>
      </c>
      <c r="CN66" s="40">
        <f t="shared" si="112"/>
        <v>3.2475952641916446</v>
      </c>
      <c r="CO66" s="40">
        <f t="shared" si="94"/>
        <v>1.068380473993576</v>
      </c>
      <c r="CP66" s="40">
        <f t="shared" si="95"/>
        <v>1.0685817283925276</v>
      </c>
      <c r="CQ66" s="40">
        <f t="shared" si="96"/>
        <v>1.069395729552311</v>
      </c>
      <c r="CR66" s="40">
        <f t="shared" si="97"/>
        <v>1.0825317547305482</v>
      </c>
      <c r="CS66" s="40">
        <f t="shared" si="87"/>
        <v>1.0825317547305482</v>
      </c>
      <c r="CT66" s="40">
        <f t="shared" si="61"/>
        <v>1.0825317547305482</v>
      </c>
      <c r="CU66" s="40">
        <f t="shared" si="99"/>
        <v>1.0825317547305482</v>
      </c>
      <c r="CV66" s="40">
        <f t="shared" si="100"/>
        <v>1.0825317547305482</v>
      </c>
      <c r="CW66" s="40">
        <f t="shared" si="101"/>
        <v>1.0825317547305482</v>
      </c>
      <c r="CX66" s="40">
        <f t="shared" si="88"/>
        <v>1.0825317547305482</v>
      </c>
      <c r="CY66" s="40">
        <f t="shared" si="89"/>
        <v>1.0825317547305482</v>
      </c>
      <c r="CZ66" s="40">
        <f t="shared" si="98"/>
        <v>1.0825317547305482</v>
      </c>
      <c r="DA66" s="40">
        <f t="shared" si="66"/>
        <v>0.2715537131001843</v>
      </c>
    </row>
    <row r="67" spans="1:105" ht="12.75">
      <c r="A67" s="61" t="s">
        <v>53</v>
      </c>
      <c r="B67" s="61" t="s">
        <v>54</v>
      </c>
      <c r="C67" s="61">
        <v>5</v>
      </c>
      <c r="D67" s="61" t="s">
        <v>304</v>
      </c>
      <c r="E67" s="61">
        <v>250</v>
      </c>
      <c r="F67" s="61">
        <v>1</v>
      </c>
      <c r="G67" s="61" t="s">
        <v>320</v>
      </c>
      <c r="H67" s="120"/>
      <c r="I67" s="61">
        <v>1</v>
      </c>
      <c r="J67" s="61" t="s">
        <v>161</v>
      </c>
      <c r="K67" s="61">
        <v>2.5</v>
      </c>
      <c r="L67" s="61">
        <v>15</v>
      </c>
      <c r="M67" s="61" t="s">
        <v>161</v>
      </c>
      <c r="N67" s="61">
        <v>2.5</v>
      </c>
      <c r="O67" s="61">
        <v>15</v>
      </c>
      <c r="P67" s="61" t="s">
        <v>138</v>
      </c>
      <c r="Q67" s="120"/>
      <c r="R67" s="120"/>
      <c r="S67" s="120"/>
      <c r="T67" s="120"/>
      <c r="U67" s="72">
        <f t="shared" si="90"/>
        <v>0.036719999999999996</v>
      </c>
      <c r="V67" s="72">
        <f t="shared" si="14"/>
        <v>0.036719999999999996</v>
      </c>
      <c r="W67" s="73">
        <f t="shared" si="15"/>
        <v>1.0825317547305482</v>
      </c>
      <c r="X67" s="72">
        <f t="shared" si="16"/>
        <v>0.039598848</v>
      </c>
      <c r="Y67" s="72">
        <f t="shared" si="17"/>
        <v>0.039620763075139</v>
      </c>
      <c r="Z67" s="72">
        <f t="shared" si="18"/>
        <v>0.03962079647584309</v>
      </c>
      <c r="AA67" s="72">
        <f t="shared" si="19"/>
        <v>0.039620799062483184</v>
      </c>
      <c r="AB67" s="72">
        <f t="shared" si="20"/>
        <v>0</v>
      </c>
      <c r="AC67" s="72">
        <f t="shared" si="21"/>
        <v>0</v>
      </c>
      <c r="AD67" s="74">
        <f>IF(L67="","",L67*IF(S67="",1,SQRT((SUMIF(Tipo_cable,J67,Tem_máx)-S67)/((SUMIF(Tipo_cable,J67,Tem_máx)-(SUMIF(Tipo_cable,J67,Tem_amb))))))*IF(T67="",1,T67))</f>
        <v>15</v>
      </c>
      <c r="AE67" s="73">
        <f>IF(B67="","",MAX(AL67,MAX(AO67,AR67))-CC67+1.25*CC67)</f>
        <v>1.069395729552311</v>
      </c>
      <c r="AF67" s="40">
        <f>IF(B67="","",$D$6-MIN(BB67:BD67))</f>
        <v>2.976567128036237</v>
      </c>
      <c r="AG67" s="40">
        <f>IF(B67="","",100*AF67/$D$6)</f>
        <v>1.2888913744745343</v>
      </c>
      <c r="AH67" s="40">
        <f>IF(B67="","",$D$5-MIN(BE67:BG67))</f>
        <v>5.030845265970299</v>
      </c>
      <c r="AI67" s="260">
        <f>IF(B67="","",100*AH67/$D$5)</f>
        <v>1.2577113164925748</v>
      </c>
      <c r="AJ67" s="40">
        <f t="shared" si="106"/>
        <v>0</v>
      </c>
      <c r="AK67" s="40">
        <f t="shared" si="107"/>
        <v>0</v>
      </c>
      <c r="AL67" s="261">
        <f>IF(B67="","",SQRT(AJ67^2+AK67^2))</f>
        <v>0</v>
      </c>
      <c r="AM67" s="40">
        <f>IF(B67="","",I67*IF($H$14="Sí",IF(OR($D67="S",$D67="RST"),IF($D$2="Sí",($W67/$D$6)*($AX67*$F67+$AY67*SIN(ACOS($F67))),-$W67*$F67/2-SQRT(3)/2*$W67*SIN(ACOS($F67))))+SUMIF(INICIO,$B67,S_RE),0))</f>
        <v>-0.5304417478246898</v>
      </c>
      <c r="AN67" s="40">
        <f>IF(B67="","",I67*IF($H$14="Sí",IF(OR($D67="S",$D67="RST"),IF($D$2="Sí",($W67/$D$6)*($AY67*$F67-$AX67*SIN(ACOS($F67))),-SQRT(3)/2*$W67*$F67+0.5*$W67*SIN(ACOS($F67))))+SUMIF(INICIO,$B67,S_IM),0))</f>
        <v>-0.927630572503516</v>
      </c>
      <c r="AO67" s="40">
        <f>IF(B67="","",SQRT(AM67^2+AN67^2))</f>
        <v>1.068581736171133</v>
      </c>
      <c r="AP67" s="40">
        <f>IF(B67="","",I67*IF($I$14="Sí",IF(OR($D67="T",$D67="RST"),IF($D$2="Sí",($W67/$D$6)*($AZ67*$F67+$BA67*SIN(ACOS($F67))),-$W67*$F67/2+SQRT(3)/2*$W67*SIN(ACOS($F67))))+SUMIF(INICIO,$B67,T_RE),0))</f>
        <v>-0.5390094855545294</v>
      </c>
      <c r="AQ67" s="40">
        <f>IF(B67="","",I67*IF($I$14="Sí",IF(OR($D67="T",$D67="RST"),IF($D$2="Sí",($W67/$D$6)*($BA67*$F67-$AZ67*SIN(ACOS($F67))),SQRT(3)/2*$W67*$F67+0.5*$W67*SIN(ACOS($F67))))+SUMIF(INICIO,$B67,T_IM),0))</f>
        <v>0.9236211258230069</v>
      </c>
      <c r="AR67" s="40">
        <f>IF(B67="","",SQRT(AP67^2+AQ67^2))</f>
        <v>1.0693957216972196</v>
      </c>
      <c r="AS67" s="40">
        <f>IF(B67="","",AJ67+AM67+AP67)</f>
        <v>-1.0694512333792192</v>
      </c>
      <c r="AT67" s="40">
        <f>IF(B67="","",AK67+AN67+AQ67)</f>
        <v>-0.004009446680509066</v>
      </c>
      <c r="AU67" s="40">
        <f>IF(B67="","",SQRT(AS67^2+AT67^2))</f>
        <v>1.0694587491993401</v>
      </c>
      <c r="AV67" s="73">
        <f>IF(B67="","",SUMIF(FINAL,$A67,ac_R_Re)-($X67*$AJ67-$AB67*$AK67)-($AA67*$AS67-$AC67*$AT67))</f>
        <v>227.96040500149158</v>
      </c>
      <c r="AW67" s="73">
        <f>IF(B67="","",SUMIF(FINAL,$A67,ac_R_Im)-($X67*$AK67+$AB67*$AJ67)-($AA67*$AT67+$AC67*$AS67))</f>
        <v>1.1956181853963017</v>
      </c>
      <c r="AX67" s="73">
        <f>IF(B67="","",SUMIF(FINAL,$A67,ac_S_Re)-($Y67*$AM67-$AB67*$AN67)-($AA67*$AS67-$AC67*$AT67))</f>
        <v>-113.16090640053373</v>
      </c>
      <c r="AY67" s="73">
        <f>IF(B67="","",SUMIF(FINAL,$A67,ac_S_Im)-($Y67*$AN67+$AB67*$AM67)-($AA67*$AT67+$AC67*$AS67))</f>
        <v>-197.89452256415652</v>
      </c>
      <c r="AZ67" s="73">
        <f>IF(B67="","",SUMIF(FINAL,$A67,ac_T_Re)-($Z67*$AP67-$AB67*$AQ67)-($AA67*$AS67-$AC67*$AT67))</f>
        <v>-115.0314029996612</v>
      </c>
      <c r="BA67" s="73">
        <f>IF(B67="","",SUMIF(FINAL,$A67,ac_T_Im)-($Z67*$AQ67+$AB67*$AP67)-($AA67*$AT67+$AC67*$AS67))</f>
        <v>197.1123607645564</v>
      </c>
      <c r="BB67" s="73">
        <f>IF(B67="","",SQRT(AV67^2+AW67^2))</f>
        <v>227.9635403990939</v>
      </c>
      <c r="BC67" s="73">
        <f>IF(B67="","",SQRT(AX67^2+AY67^2))</f>
        <v>227.96410418810638</v>
      </c>
      <c r="BD67" s="73">
        <f>IF(B67="","",SQRT(AZ67^2+BA67^2))</f>
        <v>228.22249328724612</v>
      </c>
      <c r="BE67" s="73">
        <f>IF(B67="","",SQRT((AV67-AX67)^2+(AW67-AY67)^2))</f>
        <v>394.96915479099664</v>
      </c>
      <c r="BF67" s="73">
        <f>IF(B67="","",SQRT((AX67-AZ67)^2+(AY67-BA67)^2))</f>
        <v>395.01131203370716</v>
      </c>
      <c r="BG67" s="73">
        <f>IF(B67="","",SQRT((AZ67-AV67)^2+(BA67-AW67)^2))</f>
        <v>395.0022156630625</v>
      </c>
      <c r="BH67" s="73">
        <f t="shared" si="39"/>
        <v>1.2888914388722719</v>
      </c>
      <c r="BI67" s="73">
        <f t="shared" si="102"/>
        <v>1.288647311068677</v>
      </c>
      <c r="BJ67" s="73">
        <f t="shared" si="103"/>
        <v>1.176761549110678</v>
      </c>
      <c r="BK67" s="40">
        <f>IF(B67="","",I67*(W67+SUMIF(INICIO,$B67,I_tramo)))</f>
        <v>2.1650635094610964</v>
      </c>
      <c r="BL67" s="40">
        <f>IF(B67="","",BK67-CC67+1.25*CC67)</f>
        <v>2.1650635094610964</v>
      </c>
      <c r="BM67" s="40">
        <f>IF(B67="","",SUMIF(FINAL,$A67,U_FINAL)-SQRT(3)*U67*CN67)</f>
        <v>393.12192618234064</v>
      </c>
      <c r="BN67" s="40">
        <f>IF(B67="","",100*($D$5-BM67)/$D$5)</f>
        <v>1.719518454414839</v>
      </c>
      <c r="BO67" s="40">
        <f>IF(B67="","",MAX(CR67:CT67)-CC67+1.25*CC67)</f>
        <v>1.0825317547305482</v>
      </c>
      <c r="BP67" s="40">
        <f>IF(B67="","",SUMIF(FINAL,$A67,U_FINAL_R)-SQRT(3)*U67*CX67)</f>
        <v>395.7667260091938</v>
      </c>
      <c r="BQ67" s="40">
        <f>IF(B67="","",100*($D$5-BP67)/$D$5)</f>
        <v>1.0583184977015492</v>
      </c>
      <c r="BR67" s="40">
        <f>IF(B67="","",SUMIF(FINAL,$A67,U_FINAL_S)-SQRT(3)*U67*CY67)</f>
        <v>395.68465787421724</v>
      </c>
      <c r="BS67" s="40">
        <f>IF(B67="","",100*($D$5-BR67)/$D$5)</f>
        <v>1.0788355314456908</v>
      </c>
      <c r="BT67" s="40">
        <f>IF(B67="","",SUMIF(FINAL,$A67,U_FINAL_T)-SQRT(3)*U67*CZ67)</f>
        <v>395.7466882989297</v>
      </c>
      <c r="BU67" s="40">
        <f>IF(B67="","",100*($D$5-BT67)/$D$5)</f>
        <v>1.063327925267572</v>
      </c>
      <c r="BV67" s="75">
        <f>IF(B67="","",U67+SUMIF(FINAL,$A67,R_FINAL))</f>
        <v>0.34843625</v>
      </c>
      <c r="BW67" s="75">
        <f>IF(B67="","",AB67+SUMIF(FINAL,$A67,X_FINAL))</f>
        <v>0.0194116625</v>
      </c>
      <c r="BX67" s="40">
        <f>IF(B67="","",$D$6/SQRT((BV67-U67)^2+(BW67-AB67+$S$12)^2)/1000)</f>
        <v>0.7309908579389839</v>
      </c>
      <c r="BY67" s="40">
        <f>IF(B67="","",SUMIF(Tipo_cable,J67,Constante_k)*K67/SQRT(IF(BZ67="",0.7,BZ67))/1000)</f>
        <v>0.34362822518363817</v>
      </c>
      <c r="BZ67" s="61"/>
      <c r="CA67" s="73">
        <f t="shared" si="49"/>
        <v>0.1546862841346741</v>
      </c>
      <c r="CB67" s="84"/>
      <c r="CC67" s="73">
        <f t="shared" si="50"/>
        <v>0</v>
      </c>
      <c r="CD67" s="73">
        <f t="shared" si="91"/>
        <v>0</v>
      </c>
      <c r="CE67" s="73">
        <f t="shared" si="92"/>
        <v>1</v>
      </c>
      <c r="CF67" s="73">
        <f t="shared" si="93"/>
        <v>0</v>
      </c>
      <c r="CG67" s="73">
        <f t="shared" si="54"/>
        <v>0</v>
      </c>
      <c r="CH67" s="73">
        <f t="shared" si="55"/>
        <v>0</v>
      </c>
      <c r="CI67" s="73">
        <f t="shared" si="56"/>
        <v>0</v>
      </c>
      <c r="CJ67" s="76">
        <f>IF(B67="","",C67*IF(P67="Unipolar/Cu",3,0))</f>
        <v>15</v>
      </c>
      <c r="CK67" s="76">
        <f>IF(B67="","",C67*IF(P67="Unipolar/Al",3,0))</f>
        <v>0</v>
      </c>
      <c r="CL67" s="76">
        <f>IF(B67="","",C67*IF(P67="Tripolar/Cu",1,0))</f>
        <v>0</v>
      </c>
      <c r="CM67" s="76">
        <f>IF(B67="","",C67*IF(P67="Tripolar/Al",1,0))</f>
        <v>0</v>
      </c>
      <c r="CN67" s="40">
        <f>IF(B67="","",I67*(W67*F67+SUMIF(INICIO,$B67,I_cosfi)))</f>
        <v>2.1650635094610964</v>
      </c>
      <c r="CO67" s="40">
        <f t="shared" si="94"/>
        <v>0</v>
      </c>
      <c r="CP67" s="40">
        <f t="shared" si="95"/>
        <v>1.068581736171133</v>
      </c>
      <c r="CQ67" s="40">
        <f t="shared" si="96"/>
        <v>1.0693957216972196</v>
      </c>
      <c r="CR67" s="40">
        <f t="shared" si="97"/>
        <v>0</v>
      </c>
      <c r="CS67" s="40">
        <f>IF($B67="","",I67*IF($H$14="Sí",IF(OR($D67="S",$D67="RST"),$W67)+SUMIF(INICIO,$B67,I_tramoS),0))</f>
        <v>1.0825317547305482</v>
      </c>
      <c r="CT67" s="40">
        <f>IF($B67="","",I67*IF($I$14="Sí",IF(OR($D67="T",$D67="RST"),$W67)+SUMIF(INICIO,$B67,I_tramoT),0))</f>
        <v>1.0825317547305482</v>
      </c>
      <c r="CU67" s="40">
        <f t="shared" si="99"/>
        <v>0</v>
      </c>
      <c r="CV67" s="40">
        <f t="shared" si="100"/>
        <v>1.0825317547305482</v>
      </c>
      <c r="CW67" s="40">
        <f t="shared" si="101"/>
        <v>1.0825317547305482</v>
      </c>
      <c r="CX67" s="40">
        <f>IF($B67="","",I67*IF($G$14="Sí",IF(OR($D67="R",$D67="RST"),$W67*F67)+SUMIF(INICIO,$B67,IR_cosfi),0))</f>
        <v>0</v>
      </c>
      <c r="CY67" s="40">
        <f>IF($B67="","",I67*IF($H$14="Sí",IF(OR($D67="S",$D67="RST"),$W67*F67)+SUMIF(INICIO,$B67,IS_cosfi),0))</f>
        <v>1.0825317547305482</v>
      </c>
      <c r="CZ67" s="40">
        <f>IF($B67="","",I67*IF($I$14="Sí",IF(OR($D67="T",$D67="RST"),$W67*F67)+SUMIF(INICIO,$B67,IT_cosfi),0))</f>
        <v>1.0825317547305482</v>
      </c>
      <c r="DA67" s="40">
        <f>IF($X67="","",X67*AL67^2+Y67*AO67^2+Z67*AR67^2)</f>
        <v>0.09055226747243769</v>
      </c>
    </row>
    <row r="68" spans="1:105" ht="12.75">
      <c r="A68" s="61" t="s">
        <v>54</v>
      </c>
      <c r="B68" s="61" t="s">
        <v>55</v>
      </c>
      <c r="C68" s="61">
        <v>5</v>
      </c>
      <c r="D68" s="61" t="s">
        <v>305</v>
      </c>
      <c r="E68" s="61">
        <v>250</v>
      </c>
      <c r="F68" s="61">
        <v>1</v>
      </c>
      <c r="G68" s="61" t="s">
        <v>320</v>
      </c>
      <c r="H68" s="120"/>
      <c r="I68" s="61">
        <v>1</v>
      </c>
      <c r="J68" s="61" t="s">
        <v>161</v>
      </c>
      <c r="K68" s="61">
        <v>2.5</v>
      </c>
      <c r="L68" s="61">
        <v>15</v>
      </c>
      <c r="M68" s="61" t="s">
        <v>161</v>
      </c>
      <c r="N68" s="61">
        <v>2.5</v>
      </c>
      <c r="O68" s="61">
        <v>15</v>
      </c>
      <c r="P68" s="61" t="s">
        <v>138</v>
      </c>
      <c r="Q68" s="120"/>
      <c r="R68" s="120"/>
      <c r="S68" s="120"/>
      <c r="T68" s="120"/>
      <c r="U68" s="72">
        <f t="shared" si="90"/>
        <v>0.036719999999999996</v>
      </c>
      <c r="V68" s="72">
        <f t="shared" si="14"/>
        <v>0.036719999999999996</v>
      </c>
      <c r="W68" s="73">
        <f t="shared" si="15"/>
        <v>1.0825317547305482</v>
      </c>
      <c r="X68" s="72">
        <f t="shared" si="16"/>
        <v>0.039598848</v>
      </c>
      <c r="Y68" s="72">
        <f t="shared" si="17"/>
        <v>0.039598848</v>
      </c>
      <c r="Z68" s="72">
        <f t="shared" si="18"/>
        <v>0.03962079647552065</v>
      </c>
      <c r="AA68" s="72">
        <f t="shared" si="19"/>
        <v>0.03962079647552065</v>
      </c>
      <c r="AB68" s="72">
        <f t="shared" si="20"/>
        <v>0</v>
      </c>
      <c r="AC68" s="72">
        <f t="shared" si="21"/>
        <v>0</v>
      </c>
      <c r="AD68" s="74">
        <f t="shared" si="108"/>
        <v>15</v>
      </c>
      <c r="AE68" s="73">
        <f t="shared" si="67"/>
        <v>1.0693957216972196</v>
      </c>
      <c r="AF68" s="40">
        <f t="shared" si="68"/>
        <v>2.95540041239812</v>
      </c>
      <c r="AG68" s="40">
        <f t="shared" si="104"/>
        <v>1.279725917745889</v>
      </c>
      <c r="AH68" s="40">
        <f t="shared" si="24"/>
        <v>5.034478324322436</v>
      </c>
      <c r="AI68" s="260">
        <f t="shared" si="25"/>
        <v>1.258619581080609</v>
      </c>
      <c r="AJ68" s="40">
        <f t="shared" si="106"/>
        <v>0</v>
      </c>
      <c r="AK68" s="40">
        <f t="shared" si="107"/>
        <v>0</v>
      </c>
      <c r="AL68" s="261">
        <f t="shared" si="26"/>
        <v>0</v>
      </c>
      <c r="AM68" s="40">
        <f t="shared" si="113"/>
        <v>0</v>
      </c>
      <c r="AN68" s="40">
        <f t="shared" si="114"/>
        <v>0</v>
      </c>
      <c r="AO68" s="40">
        <f t="shared" si="29"/>
        <v>0</v>
      </c>
      <c r="AP68" s="40">
        <f t="shared" si="115"/>
        <v>-0.5390094883521269</v>
      </c>
      <c r="AQ68" s="40">
        <f t="shared" si="116"/>
        <v>0.9236211186776241</v>
      </c>
      <c r="AR68" s="40">
        <f t="shared" si="32"/>
        <v>1.0693957169359374</v>
      </c>
      <c r="AS68" s="40">
        <f t="shared" si="33"/>
        <v>-0.5390094883521269</v>
      </c>
      <c r="AT68" s="40">
        <f t="shared" si="34"/>
        <v>0.9236211186776241</v>
      </c>
      <c r="AU68" s="40">
        <f t="shared" si="35"/>
        <v>1.0693957169359374</v>
      </c>
      <c r="AV68" s="73">
        <f t="shared" si="69"/>
        <v>227.98176098672795</v>
      </c>
      <c r="AW68" s="73">
        <f t="shared" si="70"/>
        <v>1.1590235810326828</v>
      </c>
      <c r="AX68" s="73">
        <f t="shared" si="71"/>
        <v>-113.13955041529736</v>
      </c>
      <c r="AY68" s="73">
        <f t="shared" si="72"/>
        <v>-197.93111716852013</v>
      </c>
      <c r="AZ68" s="73">
        <f t="shared" si="73"/>
        <v>-114.98869102918846</v>
      </c>
      <c r="BA68" s="73">
        <f t="shared" si="74"/>
        <v>197.03917155582917</v>
      </c>
      <c r="BB68" s="73">
        <f t="shared" si="75"/>
        <v>227.9847071149092</v>
      </c>
      <c r="BC68" s="73">
        <f t="shared" si="76"/>
        <v>227.98527367300295</v>
      </c>
      <c r="BD68" s="73">
        <f t="shared" si="77"/>
        <v>228.1377526671411</v>
      </c>
      <c r="BE68" s="73">
        <f t="shared" si="36"/>
        <v>394.96915479099664</v>
      </c>
      <c r="BF68" s="73">
        <f t="shared" si="37"/>
        <v>394.97461728066247</v>
      </c>
      <c r="BG68" s="73">
        <f t="shared" si="38"/>
        <v>394.9655216935147</v>
      </c>
      <c r="BH68" s="73">
        <f t="shared" si="39"/>
        <v>1.2797259820668927</v>
      </c>
      <c r="BI68" s="73">
        <f t="shared" si="102"/>
        <v>1.2794806552159446</v>
      </c>
      <c r="BJ68" s="73">
        <f t="shared" si="103"/>
        <v>1.2134553139823825</v>
      </c>
      <c r="BK68" s="40">
        <f t="shared" si="78"/>
        <v>1.0825317547305482</v>
      </c>
      <c r="BL68" s="40">
        <f t="shared" si="79"/>
        <v>1.0825317547305482</v>
      </c>
      <c r="BM68" s="40">
        <f t="shared" si="80"/>
        <v>393.05307618234065</v>
      </c>
      <c r="BN68" s="40">
        <f t="shared" si="40"/>
        <v>1.7367309544148384</v>
      </c>
      <c r="BO68" s="40">
        <f t="shared" si="109"/>
        <v>1.0825317547305482</v>
      </c>
      <c r="BP68" s="40">
        <f t="shared" si="117"/>
        <v>395.7667260091938</v>
      </c>
      <c r="BQ68" s="40">
        <f t="shared" si="42"/>
        <v>1.0583184977015492</v>
      </c>
      <c r="BR68" s="40">
        <f t="shared" si="118"/>
        <v>395.68465787421724</v>
      </c>
      <c r="BS68" s="40">
        <f t="shared" si="81"/>
        <v>1.0788355314456908</v>
      </c>
      <c r="BT68" s="40">
        <f aca="true" t="shared" si="120" ref="BT68:BT100">IF(B68="","",SUMIF(FINAL,$A68,U_FINAL_T)-SQRT(3)*U68*CZ68)</f>
        <v>395.6778382989297</v>
      </c>
      <c r="BU68" s="40">
        <f t="shared" si="45"/>
        <v>1.0805404252675714</v>
      </c>
      <c r="BV68" s="75">
        <f t="shared" si="46"/>
        <v>0.38515625</v>
      </c>
      <c r="BW68" s="75">
        <f t="shared" si="47"/>
        <v>0.0194116625</v>
      </c>
      <c r="BX68" s="40">
        <f t="shared" si="110"/>
        <v>0.6556910645231636</v>
      </c>
      <c r="BY68" s="40">
        <f t="shared" si="111"/>
        <v>0.34362822518363817</v>
      </c>
      <c r="BZ68" s="61"/>
      <c r="CA68" s="73">
        <f t="shared" si="49"/>
        <v>0.19225478929346307</v>
      </c>
      <c r="CB68" s="84"/>
      <c r="CC68" s="73">
        <f t="shared" si="50"/>
        <v>0</v>
      </c>
      <c r="CD68" s="73">
        <f t="shared" si="91"/>
        <v>0</v>
      </c>
      <c r="CE68" s="73">
        <f t="shared" si="92"/>
        <v>0</v>
      </c>
      <c r="CF68" s="73">
        <f t="shared" si="93"/>
        <v>1</v>
      </c>
      <c r="CG68" s="73">
        <f t="shared" si="54"/>
        <v>0</v>
      </c>
      <c r="CH68" s="73">
        <f t="shared" si="55"/>
        <v>0</v>
      </c>
      <c r="CI68" s="73">
        <f t="shared" si="56"/>
        <v>0</v>
      </c>
      <c r="CJ68" s="76">
        <f t="shared" si="57"/>
        <v>15</v>
      </c>
      <c r="CK68" s="76">
        <f t="shared" si="82"/>
        <v>0</v>
      </c>
      <c r="CL68" s="76">
        <f t="shared" si="83"/>
        <v>0</v>
      </c>
      <c r="CM68" s="76">
        <f t="shared" si="84"/>
        <v>0</v>
      </c>
      <c r="CN68" s="40">
        <f t="shared" si="112"/>
        <v>1.0825317547305482</v>
      </c>
      <c r="CO68" s="40">
        <f t="shared" si="94"/>
        <v>0</v>
      </c>
      <c r="CP68" s="40">
        <f t="shared" si="95"/>
        <v>0</v>
      </c>
      <c r="CQ68" s="40">
        <f t="shared" si="96"/>
        <v>1.0693957169359374</v>
      </c>
      <c r="CR68" s="40">
        <f t="shared" si="97"/>
        <v>0</v>
      </c>
      <c r="CS68" s="40">
        <f t="shared" si="87"/>
        <v>0</v>
      </c>
      <c r="CT68" s="40">
        <f t="shared" si="61"/>
        <v>1.0825317547305482</v>
      </c>
      <c r="CU68" s="40">
        <f t="shared" si="99"/>
        <v>0</v>
      </c>
      <c r="CV68" s="40">
        <f t="shared" si="100"/>
        <v>0</v>
      </c>
      <c r="CW68" s="40">
        <f t="shared" si="101"/>
        <v>1.0825317547305482</v>
      </c>
      <c r="CX68" s="40">
        <f t="shared" si="88"/>
        <v>0</v>
      </c>
      <c r="CY68" s="40">
        <f t="shared" si="89"/>
        <v>0</v>
      </c>
      <c r="CZ68" s="40">
        <f t="shared" si="98"/>
        <v>1.0825317547305482</v>
      </c>
      <c r="DA68" s="40">
        <f t="shared" si="66"/>
        <v>0.045310628095404315</v>
      </c>
    </row>
    <row r="69" spans="1:105" ht="12.75">
      <c r="A69" s="61" t="s">
        <v>52</v>
      </c>
      <c r="B69" s="61" t="s">
        <v>56</v>
      </c>
      <c r="C69" s="61">
        <v>15</v>
      </c>
      <c r="D69" s="61" t="s">
        <v>303</v>
      </c>
      <c r="E69" s="61">
        <v>250</v>
      </c>
      <c r="F69" s="61">
        <v>0.6</v>
      </c>
      <c r="G69" s="61" t="s">
        <v>319</v>
      </c>
      <c r="H69" s="120"/>
      <c r="I69" s="61">
        <v>1</v>
      </c>
      <c r="J69" s="61" t="s">
        <v>161</v>
      </c>
      <c r="K69" s="61">
        <v>2.5</v>
      </c>
      <c r="L69" s="61">
        <v>15</v>
      </c>
      <c r="M69" s="61" t="s">
        <v>161</v>
      </c>
      <c r="N69" s="61">
        <v>2.5</v>
      </c>
      <c r="O69" s="61">
        <v>15</v>
      </c>
      <c r="P69" s="61" t="s">
        <v>138</v>
      </c>
      <c r="Q69" s="120"/>
      <c r="R69" s="120"/>
      <c r="S69" s="120"/>
      <c r="T69" s="120"/>
      <c r="U69" s="72">
        <f t="shared" si="90"/>
        <v>0.11016</v>
      </c>
      <c r="V69" s="72">
        <f t="shared" si="14"/>
        <v>0.11016</v>
      </c>
      <c r="W69" s="73">
        <f t="shared" si="15"/>
        <v>1.9485571585149868</v>
      </c>
      <c r="X69" s="72">
        <f t="shared" si="16"/>
        <v>0.11900937990807016</v>
      </c>
      <c r="Y69" s="72">
        <f t="shared" si="17"/>
        <v>0.11900954913539066</v>
      </c>
      <c r="Z69" s="72">
        <f t="shared" si="18"/>
        <v>0.11900966259447142</v>
      </c>
      <c r="AA69" s="72">
        <f t="shared" si="19"/>
        <v>0.11879654445678242</v>
      </c>
      <c r="AB69" s="72">
        <f t="shared" si="20"/>
        <v>0</v>
      </c>
      <c r="AC69" s="72">
        <f t="shared" si="21"/>
        <v>0</v>
      </c>
      <c r="AD69" s="74">
        <f t="shared" si="108"/>
        <v>15</v>
      </c>
      <c r="AE69" s="73">
        <f t="shared" si="67"/>
        <v>1.9239168851420383</v>
      </c>
      <c r="AF69" s="40">
        <f t="shared" si="68"/>
        <v>3.071605262527754</v>
      </c>
      <c r="AG69" s="40">
        <f t="shared" si="104"/>
        <v>1.3300440938735023</v>
      </c>
      <c r="AH69" s="40">
        <f t="shared" si="24"/>
        <v>5.085566580797774</v>
      </c>
      <c r="AI69" s="260">
        <f t="shared" si="25"/>
        <v>1.2713916451994436</v>
      </c>
      <c r="AJ69" s="40">
        <f t="shared" si="106"/>
        <v>1.162864262100298</v>
      </c>
      <c r="AK69" s="40">
        <f t="shared" si="107"/>
        <v>-1.5311084737223326</v>
      </c>
      <c r="AL69" s="261">
        <f t="shared" si="26"/>
        <v>1.9226404891124085</v>
      </c>
      <c r="AM69" s="40">
        <f t="shared" si="113"/>
        <v>-1.9083317411265943</v>
      </c>
      <c r="AN69" s="40">
        <f t="shared" si="114"/>
        <v>-0.24032408697628782</v>
      </c>
      <c r="AO69" s="40">
        <f t="shared" si="29"/>
        <v>1.923404715854738</v>
      </c>
      <c r="AP69" s="40">
        <f t="shared" si="115"/>
        <v>0.7444378196827953</v>
      </c>
      <c r="AQ69" s="40">
        <f t="shared" si="116"/>
        <v>1.7740542468918525</v>
      </c>
      <c r="AR69" s="40">
        <f t="shared" si="32"/>
        <v>1.9239168740590358</v>
      </c>
      <c r="AS69" s="40">
        <f t="shared" si="33"/>
        <v>-0.001029659343500966</v>
      </c>
      <c r="AT69" s="40">
        <f t="shared" si="34"/>
        <v>0.00262168619323222</v>
      </c>
      <c r="AU69" s="40">
        <f t="shared" si="35"/>
        <v>0.002816635734248092</v>
      </c>
      <c r="AV69" s="73">
        <f t="shared" si="69"/>
        <v>227.8643360063732</v>
      </c>
      <c r="AW69" s="73">
        <f t="shared" si="70"/>
        <v>1.3779344617829437</v>
      </c>
      <c r="AX69" s="73">
        <f t="shared" si="71"/>
        <v>-113.03918237810463</v>
      </c>
      <c r="AY69" s="73">
        <f t="shared" si="72"/>
        <v>-197.97652603642007</v>
      </c>
      <c r="AZ69" s="73">
        <f t="shared" si="73"/>
        <v>-115.22640240592293</v>
      </c>
      <c r="BA69" s="73">
        <f t="shared" si="74"/>
        <v>197.01067094138372</v>
      </c>
      <c r="BB69" s="73">
        <f t="shared" si="75"/>
        <v>227.86850227051198</v>
      </c>
      <c r="BC69" s="73">
        <f t="shared" si="76"/>
        <v>227.97491444051408</v>
      </c>
      <c r="BD69" s="73">
        <f t="shared" si="77"/>
        <v>228.23305693125582</v>
      </c>
      <c r="BE69" s="73">
        <f t="shared" si="36"/>
        <v>394.91443347571584</v>
      </c>
      <c r="BF69" s="73">
        <f t="shared" si="37"/>
        <v>394.9932527370974</v>
      </c>
      <c r="BG69" s="73">
        <f t="shared" si="38"/>
        <v>394.9473665778663</v>
      </c>
      <c r="BH69" s="73">
        <f t="shared" si="39"/>
        <v>1.3300441557123026</v>
      </c>
      <c r="BI69" s="73">
        <f t="shared" si="102"/>
        <v>1.2839663344654781</v>
      </c>
      <c r="BJ69" s="73">
        <f t="shared" si="103"/>
        <v>1.1721873570762134</v>
      </c>
      <c r="BK69" s="40">
        <f t="shared" si="78"/>
        <v>5.84567147554496</v>
      </c>
      <c r="BL69" s="40">
        <f t="shared" si="79"/>
        <v>5.84567147554496</v>
      </c>
      <c r="BM69" s="40">
        <f t="shared" si="80"/>
        <v>393.00350418234063</v>
      </c>
      <c r="BN69" s="40">
        <f t="shared" si="40"/>
        <v>1.7491239544148414</v>
      </c>
      <c r="BO69" s="40">
        <f t="shared" si="109"/>
        <v>1.9485571585149868</v>
      </c>
      <c r="BP69" s="40">
        <f t="shared" si="117"/>
        <v>395.6813520091938</v>
      </c>
      <c r="BQ69" s="40">
        <f t="shared" si="42"/>
        <v>1.0796619977015496</v>
      </c>
      <c r="BR69" s="40">
        <f t="shared" si="118"/>
        <v>395.66813387421723</v>
      </c>
      <c r="BS69" s="40">
        <f t="shared" si="81"/>
        <v>1.0829665314456918</v>
      </c>
      <c r="BT69" s="40">
        <f t="shared" si="120"/>
        <v>395.7301642989297</v>
      </c>
      <c r="BU69" s="40">
        <f t="shared" si="45"/>
        <v>1.067458925267573</v>
      </c>
      <c r="BV69" s="75">
        <f t="shared" si="46"/>
        <v>0.34843625</v>
      </c>
      <c r="BW69" s="75">
        <f t="shared" si="47"/>
        <v>0.0194116625</v>
      </c>
      <c r="BX69" s="40">
        <f t="shared" si="110"/>
        <v>0.9474093798008791</v>
      </c>
      <c r="BY69" s="40">
        <f t="shared" si="111"/>
        <v>0.34362822518363817</v>
      </c>
      <c r="BZ69" s="61"/>
      <c r="CA69" s="73">
        <f t="shared" si="49"/>
        <v>0.09208742682959596</v>
      </c>
      <c r="CB69" s="84"/>
      <c r="CC69" s="73">
        <f t="shared" si="50"/>
        <v>0</v>
      </c>
      <c r="CD69" s="73">
        <f t="shared" si="91"/>
        <v>1</v>
      </c>
      <c r="CE69" s="73">
        <f t="shared" si="92"/>
        <v>0</v>
      </c>
      <c r="CF69" s="73">
        <f t="shared" si="93"/>
        <v>0</v>
      </c>
      <c r="CG69" s="73">
        <f t="shared" si="54"/>
        <v>0</v>
      </c>
      <c r="CH69" s="73">
        <f t="shared" si="55"/>
        <v>0</v>
      </c>
      <c r="CI69" s="73">
        <f t="shared" si="56"/>
        <v>0</v>
      </c>
      <c r="CJ69" s="76">
        <f t="shared" si="57"/>
        <v>45</v>
      </c>
      <c r="CK69" s="76">
        <f t="shared" si="82"/>
        <v>0</v>
      </c>
      <c r="CL69" s="76">
        <f t="shared" si="83"/>
        <v>0</v>
      </c>
      <c r="CM69" s="76">
        <f t="shared" si="84"/>
        <v>0</v>
      </c>
      <c r="CN69" s="40">
        <f t="shared" si="112"/>
        <v>3.507402885326976</v>
      </c>
      <c r="CO69" s="40">
        <f t="shared" si="94"/>
        <v>1.9226404891124085</v>
      </c>
      <c r="CP69" s="40">
        <f t="shared" si="95"/>
        <v>1.923404715854738</v>
      </c>
      <c r="CQ69" s="40">
        <f t="shared" si="96"/>
        <v>1.9239168740590358</v>
      </c>
      <c r="CR69" s="40">
        <f t="shared" si="97"/>
        <v>1.9485571585149868</v>
      </c>
      <c r="CS69" s="40">
        <f t="shared" si="87"/>
        <v>1.9485571585149868</v>
      </c>
      <c r="CT69" s="40">
        <f t="shared" si="61"/>
        <v>1.9485571585149868</v>
      </c>
      <c r="CU69" s="40">
        <f t="shared" si="99"/>
        <v>1.9485571585149868</v>
      </c>
      <c r="CV69" s="40">
        <f t="shared" si="100"/>
        <v>1.9485571585149868</v>
      </c>
      <c r="CW69" s="40">
        <f t="shared" si="101"/>
        <v>1.9485571585149868</v>
      </c>
      <c r="CX69" s="40">
        <f t="shared" si="88"/>
        <v>1.169134295108992</v>
      </c>
      <c r="CY69" s="40">
        <f t="shared" si="89"/>
        <v>1.169134295108992</v>
      </c>
      <c r="CZ69" s="40">
        <f t="shared" si="98"/>
        <v>1.169134295108992</v>
      </c>
      <c r="DA69" s="40">
        <f t="shared" si="66"/>
        <v>1.320706872291987</v>
      </c>
    </row>
    <row r="70" spans="1:105" ht="12.75">
      <c r="A70" s="61" t="s">
        <v>56</v>
      </c>
      <c r="B70" s="61" t="s">
        <v>57</v>
      </c>
      <c r="C70" s="61">
        <v>5</v>
      </c>
      <c r="D70" s="61" t="s">
        <v>304</v>
      </c>
      <c r="E70" s="61">
        <v>250</v>
      </c>
      <c r="F70" s="61">
        <v>0.6</v>
      </c>
      <c r="G70" s="61" t="s">
        <v>319</v>
      </c>
      <c r="H70" s="120"/>
      <c r="I70" s="61">
        <v>1</v>
      </c>
      <c r="J70" s="61" t="s">
        <v>161</v>
      </c>
      <c r="K70" s="61">
        <v>2.5</v>
      </c>
      <c r="L70" s="61">
        <v>15</v>
      </c>
      <c r="M70" s="61" t="s">
        <v>161</v>
      </c>
      <c r="N70" s="61">
        <v>2.5</v>
      </c>
      <c r="O70" s="61">
        <v>15</v>
      </c>
      <c r="P70" s="61" t="s">
        <v>138</v>
      </c>
      <c r="Q70" s="120"/>
      <c r="R70" s="120"/>
      <c r="S70" s="120"/>
      <c r="T70" s="120"/>
      <c r="U70" s="72">
        <f t="shared" si="90"/>
        <v>0.036719999999999996</v>
      </c>
      <c r="V70" s="72">
        <f t="shared" si="14"/>
        <v>0.036719999999999996</v>
      </c>
      <c r="W70" s="73">
        <f t="shared" si="15"/>
        <v>1.9485571585149868</v>
      </c>
      <c r="X70" s="72">
        <f t="shared" si="16"/>
        <v>0.039598848</v>
      </c>
      <c r="Y70" s="72">
        <f t="shared" si="17"/>
        <v>0.03966984971340848</v>
      </c>
      <c r="Z70" s="72">
        <f t="shared" si="18"/>
        <v>0.039669887530672</v>
      </c>
      <c r="AA70" s="72">
        <f t="shared" si="19"/>
        <v>0.03966999349387973</v>
      </c>
      <c r="AB70" s="72">
        <f t="shared" si="20"/>
        <v>0</v>
      </c>
      <c r="AC70" s="72">
        <f t="shared" si="21"/>
        <v>0</v>
      </c>
      <c r="AD70" s="74">
        <f t="shared" si="108"/>
        <v>15</v>
      </c>
      <c r="AE70" s="73">
        <f t="shared" si="67"/>
        <v>1.9239168740590358</v>
      </c>
      <c r="AF70" s="40">
        <f t="shared" si="68"/>
        <v>3.025794168573185</v>
      </c>
      <c r="AG70" s="40">
        <f t="shared" si="104"/>
        <v>1.310207308303596</v>
      </c>
      <c r="AH70" s="40">
        <f t="shared" si="24"/>
        <v>5.155727649544247</v>
      </c>
      <c r="AI70" s="260">
        <f t="shared" si="25"/>
        <v>1.2889319123860616</v>
      </c>
      <c r="AJ70" s="40">
        <f t="shared" si="106"/>
        <v>0</v>
      </c>
      <c r="AK70" s="40">
        <f t="shared" si="107"/>
        <v>0</v>
      </c>
      <c r="AL70" s="261">
        <f t="shared" si="26"/>
        <v>0</v>
      </c>
      <c r="AM70" s="40">
        <f t="shared" si="113"/>
        <v>-1.9083317547409246</v>
      </c>
      <c r="AN70" s="40">
        <f t="shared" si="114"/>
        <v>-0.2403240907369308</v>
      </c>
      <c r="AO70" s="40">
        <f t="shared" si="29"/>
        <v>1.92340472983226</v>
      </c>
      <c r="AP70" s="40">
        <f t="shared" si="115"/>
        <v>0.7444377986657187</v>
      </c>
      <c r="AQ70" s="40">
        <f t="shared" si="116"/>
        <v>1.7740542404869404</v>
      </c>
      <c r="AR70" s="40">
        <f t="shared" si="32"/>
        <v>1.923916860020712</v>
      </c>
      <c r="AS70" s="40">
        <f t="shared" si="33"/>
        <v>-1.163893956075206</v>
      </c>
      <c r="AT70" s="40">
        <f t="shared" si="34"/>
        <v>1.5337301497500095</v>
      </c>
      <c r="AU70" s="40">
        <f t="shared" si="35"/>
        <v>1.9253512181523091</v>
      </c>
      <c r="AV70" s="73">
        <f t="shared" si="69"/>
        <v>227.91050767203828</v>
      </c>
      <c r="AW70" s="73">
        <f t="shared" si="70"/>
        <v>1.3170913967209936</v>
      </c>
      <c r="AX70" s="73">
        <f t="shared" si="71"/>
        <v>-112.91730747852566</v>
      </c>
      <c r="AY70" s="73">
        <f t="shared" si="72"/>
        <v>-198.02783548091998</v>
      </c>
      <c r="AZ70" s="73">
        <f t="shared" si="73"/>
        <v>-115.2097625040045</v>
      </c>
      <c r="BA70" s="73">
        <f t="shared" si="74"/>
        <v>196.87945134412834</v>
      </c>
      <c r="BB70" s="73">
        <f t="shared" si="75"/>
        <v>227.91431336595238</v>
      </c>
      <c r="BC70" s="73">
        <f t="shared" si="76"/>
        <v>227.95907955915732</v>
      </c>
      <c r="BD70" s="73">
        <f t="shared" si="77"/>
        <v>228.1113932660842</v>
      </c>
      <c r="BE70" s="73">
        <f t="shared" si="36"/>
        <v>394.8442724064248</v>
      </c>
      <c r="BF70" s="73">
        <f t="shared" si="37"/>
        <v>394.9139406726038</v>
      </c>
      <c r="BG70" s="73">
        <f t="shared" si="38"/>
        <v>394.93816786160323</v>
      </c>
      <c r="BH70" s="73">
        <f t="shared" si="39"/>
        <v>1.310207369499013</v>
      </c>
      <c r="BI70" s="73">
        <f t="shared" si="102"/>
        <v>1.2908230392259146</v>
      </c>
      <c r="BJ70" s="73">
        <f t="shared" si="103"/>
        <v>1.2248692694542824</v>
      </c>
      <c r="BK70" s="40">
        <f t="shared" si="78"/>
        <v>3.8971143170299736</v>
      </c>
      <c r="BL70" s="40">
        <f t="shared" si="79"/>
        <v>3.8971143170299736</v>
      </c>
      <c r="BM70" s="40">
        <f t="shared" si="80"/>
        <v>392.85478818234066</v>
      </c>
      <c r="BN70" s="40">
        <f t="shared" si="40"/>
        <v>1.786302954414836</v>
      </c>
      <c r="BO70" s="40">
        <f t="shared" si="109"/>
        <v>1.9485571585149868</v>
      </c>
      <c r="BP70" s="40">
        <f t="shared" si="117"/>
        <v>395.6813520091938</v>
      </c>
      <c r="BQ70" s="40">
        <f t="shared" si="42"/>
        <v>1.0796619977015496</v>
      </c>
      <c r="BR70" s="40">
        <f t="shared" si="118"/>
        <v>395.5937758742172</v>
      </c>
      <c r="BS70" s="40">
        <f t="shared" si="81"/>
        <v>1.1015560314456962</v>
      </c>
      <c r="BT70" s="40">
        <f t="shared" si="120"/>
        <v>395.6558062989297</v>
      </c>
      <c r="BU70" s="40">
        <f t="shared" si="45"/>
        <v>1.0860484252675775</v>
      </c>
      <c r="BV70" s="75">
        <f t="shared" si="46"/>
        <v>0.38515625</v>
      </c>
      <c r="BW70" s="75">
        <f t="shared" si="47"/>
        <v>0.0194116625</v>
      </c>
      <c r="BX70" s="40">
        <f t="shared" si="110"/>
        <v>0.6556910645231636</v>
      </c>
      <c r="BY70" s="40">
        <f t="shared" si="111"/>
        <v>0.34362822518363817</v>
      </c>
      <c r="BZ70" s="61"/>
      <c r="CA70" s="73">
        <f t="shared" si="49"/>
        <v>0.19225478929346307</v>
      </c>
      <c r="CB70" s="84"/>
      <c r="CC70" s="73">
        <f t="shared" si="50"/>
        <v>0</v>
      </c>
      <c r="CD70" s="73">
        <f t="shared" si="91"/>
        <v>0</v>
      </c>
      <c r="CE70" s="73">
        <f t="shared" si="92"/>
        <v>1</v>
      </c>
      <c r="CF70" s="73">
        <f t="shared" si="93"/>
        <v>0</v>
      </c>
      <c r="CG70" s="73">
        <f t="shared" si="54"/>
        <v>0</v>
      </c>
      <c r="CH70" s="73">
        <f t="shared" si="55"/>
        <v>0</v>
      </c>
      <c r="CI70" s="73">
        <f t="shared" si="56"/>
        <v>0</v>
      </c>
      <c r="CJ70" s="76">
        <f t="shared" si="57"/>
        <v>15</v>
      </c>
      <c r="CK70" s="76">
        <f t="shared" si="82"/>
        <v>0</v>
      </c>
      <c r="CL70" s="76">
        <f t="shared" si="83"/>
        <v>0</v>
      </c>
      <c r="CM70" s="76">
        <f t="shared" si="84"/>
        <v>0</v>
      </c>
      <c r="CN70" s="40">
        <f t="shared" si="112"/>
        <v>2.338268590217984</v>
      </c>
      <c r="CO70" s="40">
        <f t="shared" si="94"/>
        <v>0</v>
      </c>
      <c r="CP70" s="40">
        <f t="shared" si="95"/>
        <v>1.92340472983226</v>
      </c>
      <c r="CQ70" s="40">
        <f t="shared" si="96"/>
        <v>1.923916860020712</v>
      </c>
      <c r="CR70" s="40">
        <f t="shared" si="97"/>
        <v>0</v>
      </c>
      <c r="CS70" s="40">
        <f t="shared" si="87"/>
        <v>1.9485571585149868</v>
      </c>
      <c r="CT70" s="40">
        <f t="shared" si="61"/>
        <v>1.9485571585149868</v>
      </c>
      <c r="CU70" s="40">
        <f t="shared" si="99"/>
        <v>0</v>
      </c>
      <c r="CV70" s="40">
        <f t="shared" si="100"/>
        <v>1.9485571585149868</v>
      </c>
      <c r="CW70" s="40">
        <f t="shared" si="101"/>
        <v>1.9485571585149868</v>
      </c>
      <c r="CX70" s="40">
        <f t="shared" si="88"/>
        <v>0</v>
      </c>
      <c r="CY70" s="40">
        <f t="shared" si="89"/>
        <v>1.169134295108992</v>
      </c>
      <c r="CZ70" s="40">
        <f t="shared" si="98"/>
        <v>1.169134295108992</v>
      </c>
      <c r="DA70" s="40">
        <f t="shared" si="66"/>
        <v>0.29359439047026537</v>
      </c>
    </row>
    <row r="71" spans="1:105" ht="12.75">
      <c r="A71" s="61" t="s">
        <v>57</v>
      </c>
      <c r="B71" s="61" t="s">
        <v>58</v>
      </c>
      <c r="C71" s="61">
        <v>5</v>
      </c>
      <c r="D71" s="61" t="s">
        <v>305</v>
      </c>
      <c r="E71" s="61">
        <v>250</v>
      </c>
      <c r="F71" s="61">
        <v>0.6</v>
      </c>
      <c r="G71" s="61" t="s">
        <v>319</v>
      </c>
      <c r="H71" s="120"/>
      <c r="I71" s="61">
        <v>1</v>
      </c>
      <c r="J71" s="61" t="s">
        <v>161</v>
      </c>
      <c r="K71" s="61">
        <v>2.5</v>
      </c>
      <c r="L71" s="61">
        <v>15</v>
      </c>
      <c r="M71" s="61" t="s">
        <v>161</v>
      </c>
      <c r="N71" s="61">
        <v>2.5</v>
      </c>
      <c r="O71" s="61">
        <v>15</v>
      </c>
      <c r="P71" s="61" t="s">
        <v>138</v>
      </c>
      <c r="Q71" s="120"/>
      <c r="R71" s="120"/>
      <c r="S71" s="120"/>
      <c r="T71" s="120"/>
      <c r="U71" s="72">
        <f t="shared" si="90"/>
        <v>0.036719999999999996</v>
      </c>
      <c r="V71" s="72">
        <f t="shared" si="14"/>
        <v>0.036719999999999996</v>
      </c>
      <c r="W71" s="73">
        <f t="shared" si="15"/>
        <v>1.9485571585149868</v>
      </c>
      <c r="X71" s="72">
        <f t="shared" si="16"/>
        <v>0.039598848</v>
      </c>
      <c r="Y71" s="72">
        <f t="shared" si="17"/>
        <v>0.039598848</v>
      </c>
      <c r="Z71" s="72">
        <f t="shared" si="18"/>
        <v>0.03966988752963529</v>
      </c>
      <c r="AA71" s="72">
        <f t="shared" si="19"/>
        <v>0.03966988752963529</v>
      </c>
      <c r="AB71" s="72">
        <f t="shared" si="20"/>
        <v>0</v>
      </c>
      <c r="AC71" s="72">
        <f t="shared" si="21"/>
        <v>0</v>
      </c>
      <c r="AD71" s="74">
        <f t="shared" si="108"/>
        <v>15</v>
      </c>
      <c r="AE71" s="73">
        <f t="shared" si="67"/>
        <v>1.923916860020712</v>
      </c>
      <c r="AF71" s="40">
        <f t="shared" si="68"/>
        <v>3.0557213234207268</v>
      </c>
      <c r="AG71" s="40">
        <f t="shared" si="104"/>
        <v>1.323166146484077</v>
      </c>
      <c r="AH71" s="40">
        <f t="shared" si="24"/>
        <v>5.156262109072145</v>
      </c>
      <c r="AI71" s="260">
        <f t="shared" si="25"/>
        <v>1.2890655272680362</v>
      </c>
      <c r="AJ71" s="40">
        <f t="shared" si="106"/>
        <v>0</v>
      </c>
      <c r="AK71" s="40">
        <f t="shared" si="107"/>
        <v>0</v>
      </c>
      <c r="AL71" s="261">
        <f t="shared" si="26"/>
        <v>0</v>
      </c>
      <c r="AM71" s="40">
        <f t="shared" si="113"/>
        <v>0</v>
      </c>
      <c r="AN71" s="40">
        <f t="shared" si="114"/>
        <v>0</v>
      </c>
      <c r="AO71" s="40">
        <f t="shared" si="29"/>
        <v>0</v>
      </c>
      <c r="AP71" s="40">
        <f t="shared" si="115"/>
        <v>0.7444377853793234</v>
      </c>
      <c r="AQ71" s="40">
        <f t="shared" si="116"/>
        <v>1.7740542367670458</v>
      </c>
      <c r="AR71" s="40">
        <f t="shared" si="32"/>
        <v>1.923916851449557</v>
      </c>
      <c r="AS71" s="40">
        <f t="shared" si="33"/>
        <v>0.7444377853793234</v>
      </c>
      <c r="AT71" s="40">
        <f t="shared" si="34"/>
        <v>1.7740542367670458</v>
      </c>
      <c r="AU71" s="40">
        <f t="shared" si="35"/>
        <v>1.923916851449557</v>
      </c>
      <c r="AV71" s="73">
        <f t="shared" si="69"/>
        <v>227.88097590881947</v>
      </c>
      <c r="AW71" s="73">
        <f t="shared" si="70"/>
        <v>1.246714864676972</v>
      </c>
      <c r="AX71" s="73">
        <f t="shared" si="71"/>
        <v>-112.94683924174447</v>
      </c>
      <c r="AY71" s="73">
        <f t="shared" si="72"/>
        <v>-198.09821201296398</v>
      </c>
      <c r="AZ71" s="73">
        <f t="shared" si="73"/>
        <v>-115.26882603044213</v>
      </c>
      <c r="BA71" s="73">
        <f t="shared" si="74"/>
        <v>196.73869828004032</v>
      </c>
      <c r="BB71" s="73">
        <f t="shared" si="75"/>
        <v>227.8843862117582</v>
      </c>
      <c r="BC71" s="73">
        <f t="shared" si="76"/>
        <v>228.03484404238247</v>
      </c>
      <c r="BD71" s="73">
        <f t="shared" si="77"/>
        <v>228.019774702461</v>
      </c>
      <c r="BE71" s="73">
        <f t="shared" si="36"/>
        <v>394.8442724064248</v>
      </c>
      <c r="BF71" s="73">
        <f t="shared" si="37"/>
        <v>394.84373789180546</v>
      </c>
      <c r="BG71" s="73">
        <f t="shared" si="38"/>
        <v>394.9289836801386</v>
      </c>
      <c r="BH71" s="73">
        <f t="shared" si="39"/>
        <v>1.3231662073965813</v>
      </c>
      <c r="BI71" s="73">
        <f t="shared" si="102"/>
        <v>1.2580160556371216</v>
      </c>
      <c r="BJ71" s="73">
        <f t="shared" si="103"/>
        <v>1.2645412712322486</v>
      </c>
      <c r="BK71" s="40">
        <f t="shared" si="78"/>
        <v>1.9485571585149868</v>
      </c>
      <c r="BL71" s="40">
        <f t="shared" si="79"/>
        <v>1.9485571585149868</v>
      </c>
      <c r="BM71" s="40">
        <f t="shared" si="80"/>
        <v>392.78043018234064</v>
      </c>
      <c r="BN71" s="40">
        <f t="shared" si="40"/>
        <v>1.8048924544148406</v>
      </c>
      <c r="BO71" s="40">
        <f t="shared" si="109"/>
        <v>1.9485571585149868</v>
      </c>
      <c r="BP71" s="40">
        <f t="shared" si="117"/>
        <v>395.6813520091938</v>
      </c>
      <c r="BQ71" s="40">
        <f t="shared" si="42"/>
        <v>1.0796619977015496</v>
      </c>
      <c r="BR71" s="40">
        <f t="shared" si="118"/>
        <v>395.5937758742172</v>
      </c>
      <c r="BS71" s="40">
        <f t="shared" si="81"/>
        <v>1.1015560314456962</v>
      </c>
      <c r="BT71" s="40">
        <f t="shared" si="120"/>
        <v>395.5814482989297</v>
      </c>
      <c r="BU71" s="40">
        <f t="shared" si="45"/>
        <v>1.104637925267582</v>
      </c>
      <c r="BV71" s="75">
        <f t="shared" si="46"/>
        <v>0.42187624999999995</v>
      </c>
      <c r="BW71" s="75">
        <f t="shared" si="47"/>
        <v>0.0194116625</v>
      </c>
      <c r="BX71" s="40">
        <f t="shared" si="110"/>
        <v>0.5943297013601346</v>
      </c>
      <c r="BY71" s="40">
        <f t="shared" si="111"/>
        <v>0.34362822518363817</v>
      </c>
      <c r="BZ71" s="61"/>
      <c r="CA71" s="73">
        <f t="shared" si="49"/>
        <v>0.23400267878975214</v>
      </c>
      <c r="CB71" s="84"/>
      <c r="CC71" s="73">
        <f t="shared" si="50"/>
        <v>0</v>
      </c>
      <c r="CD71" s="73">
        <f t="shared" si="91"/>
        <v>0</v>
      </c>
      <c r="CE71" s="73">
        <f t="shared" si="92"/>
        <v>0</v>
      </c>
      <c r="CF71" s="73">
        <f t="shared" si="93"/>
        <v>1</v>
      </c>
      <c r="CG71" s="73">
        <f t="shared" si="54"/>
        <v>0</v>
      </c>
      <c r="CH71" s="73">
        <f t="shared" si="55"/>
        <v>0</v>
      </c>
      <c r="CI71" s="73">
        <f t="shared" si="56"/>
        <v>0</v>
      </c>
      <c r="CJ71" s="76">
        <f t="shared" si="57"/>
        <v>15</v>
      </c>
      <c r="CK71" s="76">
        <f t="shared" si="82"/>
        <v>0</v>
      </c>
      <c r="CL71" s="76">
        <f t="shared" si="83"/>
        <v>0</v>
      </c>
      <c r="CM71" s="76">
        <f t="shared" si="84"/>
        <v>0</v>
      </c>
      <c r="CN71" s="40">
        <f t="shared" si="112"/>
        <v>1.169134295108992</v>
      </c>
      <c r="CO71" s="40">
        <f t="shared" si="94"/>
        <v>0</v>
      </c>
      <c r="CP71" s="40">
        <f t="shared" si="95"/>
        <v>0</v>
      </c>
      <c r="CQ71" s="40">
        <f t="shared" si="96"/>
        <v>1.923916851449557</v>
      </c>
      <c r="CR71" s="40">
        <f t="shared" si="97"/>
        <v>0</v>
      </c>
      <c r="CS71" s="40">
        <f t="shared" si="87"/>
        <v>0</v>
      </c>
      <c r="CT71" s="40">
        <f t="shared" si="61"/>
        <v>1.9485571585149868</v>
      </c>
      <c r="CU71" s="40">
        <f t="shared" si="99"/>
        <v>0</v>
      </c>
      <c r="CV71" s="40">
        <f t="shared" si="100"/>
        <v>0</v>
      </c>
      <c r="CW71" s="40">
        <f t="shared" si="101"/>
        <v>1.9485571585149868</v>
      </c>
      <c r="CX71" s="40">
        <f t="shared" si="88"/>
        <v>0</v>
      </c>
      <c r="CY71" s="40">
        <f t="shared" si="89"/>
        <v>0</v>
      </c>
      <c r="CZ71" s="40">
        <f t="shared" si="98"/>
        <v>1.169134295108992</v>
      </c>
      <c r="DA71" s="40">
        <f t="shared" si="66"/>
        <v>0.1468363452506248</v>
      </c>
    </row>
    <row r="72" spans="1:105" ht="12.75">
      <c r="A72" s="61"/>
      <c r="B72" s="61"/>
      <c r="C72" s="61"/>
      <c r="D72" s="61"/>
      <c r="E72" s="61"/>
      <c r="F72" s="61"/>
      <c r="G72" s="61"/>
      <c r="H72" s="120"/>
      <c r="I72" s="61"/>
      <c r="J72" s="61"/>
      <c r="K72" s="61"/>
      <c r="L72" s="61"/>
      <c r="M72" s="61"/>
      <c r="N72" s="61"/>
      <c r="O72" s="61"/>
      <c r="P72" s="61"/>
      <c r="Q72" s="120"/>
      <c r="R72" s="120"/>
      <c r="S72" s="120"/>
      <c r="T72" s="120"/>
      <c r="U72" s="72">
        <f t="shared" si="90"/>
      </c>
      <c r="V72" s="72">
        <f t="shared" si="14"/>
      </c>
      <c r="W72" s="73">
        <f t="shared" si="15"/>
      </c>
      <c r="X72" s="72">
        <f t="shared" si="16"/>
      </c>
      <c r="Y72" s="72">
        <f t="shared" si="17"/>
      </c>
      <c r="Z72" s="72">
        <f t="shared" si="18"/>
      </c>
      <c r="AA72" s="72">
        <f t="shared" si="19"/>
      </c>
      <c r="AB72" s="72">
        <f t="shared" si="20"/>
      </c>
      <c r="AC72" s="72">
        <f t="shared" si="21"/>
      </c>
      <c r="AD72" s="74">
        <f t="shared" si="108"/>
      </c>
      <c r="AE72" s="73">
        <f t="shared" si="67"/>
      </c>
      <c r="AF72" s="40">
        <f t="shared" si="68"/>
      </c>
      <c r="AG72" s="40">
        <f t="shared" si="104"/>
      </c>
      <c r="AH72" s="40">
        <f t="shared" si="24"/>
      </c>
      <c r="AI72" s="260">
        <f t="shared" si="25"/>
      </c>
      <c r="AJ72" s="40">
        <f t="shared" si="106"/>
      </c>
      <c r="AK72" s="40">
        <f t="shared" si="107"/>
      </c>
      <c r="AL72" s="261">
        <f t="shared" si="26"/>
      </c>
      <c r="AM72" s="40" t="e">
        <f>IF(AJ61:AJ83+AK73+AI87+AI77+AI77B72="","",I72*IF($H$14="Sí",IF(OR($D72="S",$D72="RST"),IF($D$2="Sí",($W72/$D$6)*($AX72*$F72+$AY72*SIN(ACOS($F72))),-$W72*$F72/2-SQRT(3)/2*$W72*SIN(ACOS($F72))))+SUMIF(INICIO,$B72,S_RE),0))</f>
        <v>#VALUE!</v>
      </c>
      <c r="AN72" s="40">
        <f t="shared" si="114"/>
      </c>
      <c r="AO72" s="40">
        <f t="shared" si="29"/>
      </c>
      <c r="AP72" s="40">
        <f t="shared" si="115"/>
      </c>
      <c r="AQ72" s="40">
        <f t="shared" si="116"/>
      </c>
      <c r="AR72" s="40">
        <f t="shared" si="32"/>
      </c>
      <c r="AS72" s="40">
        <f t="shared" si="33"/>
      </c>
      <c r="AT72" s="40">
        <f t="shared" si="34"/>
      </c>
      <c r="AU72" s="40">
        <f t="shared" si="35"/>
      </c>
      <c r="AV72" s="73">
        <f t="shared" si="69"/>
      </c>
      <c r="AW72" s="73">
        <f t="shared" si="70"/>
      </c>
      <c r="AX72" s="73">
        <f t="shared" si="71"/>
      </c>
      <c r="AY72" s="73">
        <f t="shared" si="72"/>
      </c>
      <c r="AZ72" s="73">
        <f t="shared" si="73"/>
      </c>
      <c r="BA72" s="73">
        <f t="shared" si="74"/>
      </c>
      <c r="BB72" s="73">
        <f t="shared" si="75"/>
      </c>
      <c r="BC72" s="73">
        <f t="shared" si="76"/>
      </c>
      <c r="BD72" s="73">
        <f t="shared" si="77"/>
      </c>
      <c r="BE72" s="73">
        <f t="shared" si="36"/>
      </c>
      <c r="BF72" s="73">
        <f t="shared" si="37"/>
      </c>
      <c r="BG72" s="73">
        <f t="shared" si="38"/>
      </c>
      <c r="BH72" s="73">
        <f t="shared" si="39"/>
      </c>
      <c r="BI72" s="73">
        <f t="shared" si="102"/>
      </c>
      <c r="BJ72" s="73">
        <f t="shared" si="103"/>
      </c>
      <c r="BK72" s="40">
        <f t="shared" si="78"/>
      </c>
      <c r="BL72" s="40">
        <f t="shared" si="79"/>
      </c>
      <c r="BM72" s="40">
        <f t="shared" si="80"/>
      </c>
      <c r="BN72" s="40">
        <f t="shared" si="40"/>
      </c>
      <c r="BO72" s="40">
        <f t="shared" si="109"/>
      </c>
      <c r="BP72" s="40">
        <f t="shared" si="117"/>
      </c>
      <c r="BQ72" s="40">
        <f t="shared" si="42"/>
      </c>
      <c r="BR72" s="40">
        <f t="shared" si="118"/>
      </c>
      <c r="BS72" s="40">
        <f t="shared" si="81"/>
      </c>
      <c r="BT72" s="40">
        <f t="shared" si="120"/>
      </c>
      <c r="BU72" s="40">
        <f t="shared" si="45"/>
      </c>
      <c r="BV72" s="75">
        <f t="shared" si="46"/>
      </c>
      <c r="BW72" s="75">
        <f t="shared" si="47"/>
      </c>
      <c r="BX72" s="40">
        <f t="shared" si="110"/>
      </c>
      <c r="BY72" s="40">
        <f t="shared" si="111"/>
      </c>
      <c r="BZ72" s="61"/>
      <c r="CA72" s="73">
        <f t="shared" si="49"/>
      </c>
      <c r="CB72" s="84"/>
      <c r="CC72" s="73">
        <f>IF(FINAL="","",SUMIF(FINAL,$H72,I_nom_A))</f>
      </c>
      <c r="CD72" s="73">
        <f t="shared" si="91"/>
      </c>
      <c r="CE72" s="73">
        <f t="shared" si="92"/>
      </c>
      <c r="CF72" s="73">
        <f t="shared" si="93"/>
      </c>
      <c r="CG72" s="73">
        <f t="shared" si="54"/>
      </c>
      <c r="CH72" s="73">
        <f t="shared" si="55"/>
      </c>
      <c r="CI72" s="73">
        <f t="shared" si="56"/>
      </c>
      <c r="CJ72" s="76">
        <f t="shared" si="57"/>
      </c>
      <c r="CK72" s="76">
        <f t="shared" si="82"/>
      </c>
      <c r="CL72" s="76">
        <f t="shared" si="83"/>
      </c>
      <c r="CM72" s="76">
        <f t="shared" si="84"/>
      </c>
      <c r="CN72" s="40">
        <f t="shared" si="112"/>
      </c>
      <c r="CO72" s="40">
        <f t="shared" si="94"/>
      </c>
      <c r="CP72" s="40">
        <f t="shared" si="95"/>
      </c>
      <c r="CQ72" s="40">
        <f t="shared" si="96"/>
      </c>
      <c r="CR72" s="40">
        <f t="shared" si="97"/>
      </c>
      <c r="CS72" s="40">
        <f t="shared" si="87"/>
      </c>
      <c r="CT72" s="40">
        <f t="shared" si="61"/>
      </c>
      <c r="CU72" s="40">
        <f t="shared" si="99"/>
      </c>
      <c r="CV72" s="40">
        <f t="shared" si="100"/>
      </c>
      <c r="CW72" s="40">
        <f t="shared" si="101"/>
      </c>
      <c r="CX72" s="40">
        <f t="shared" si="88"/>
      </c>
      <c r="CY72" s="40">
        <f t="shared" si="89"/>
      </c>
      <c r="CZ72" s="40">
        <f t="shared" si="98"/>
      </c>
      <c r="DA72" s="40">
        <f t="shared" si="66"/>
      </c>
    </row>
    <row r="73" spans="1:105" ht="12.75">
      <c r="A73" s="61"/>
      <c r="B73" s="61"/>
      <c r="C73" s="61"/>
      <c r="D73" s="61"/>
      <c r="E73" s="61"/>
      <c r="F73" s="61"/>
      <c r="G73" s="61"/>
      <c r="H73" s="120"/>
      <c r="I73" s="61"/>
      <c r="J73" s="61"/>
      <c r="K73" s="61"/>
      <c r="L73" s="61"/>
      <c r="M73" s="61"/>
      <c r="N73" s="61"/>
      <c r="O73" s="61"/>
      <c r="P73" s="61"/>
      <c r="Q73" s="120"/>
      <c r="R73" s="120"/>
      <c r="S73" s="120"/>
      <c r="T73" s="120"/>
      <c r="U73" s="72">
        <f t="shared" si="90"/>
      </c>
      <c r="V73" s="72">
        <f t="shared" si="14"/>
      </c>
      <c r="W73" s="73">
        <f t="shared" si="15"/>
      </c>
      <c r="X73" s="72">
        <f t="shared" si="16"/>
      </c>
      <c r="Y73" s="72">
        <f t="shared" si="17"/>
      </c>
      <c r="Z73" s="72">
        <f t="shared" si="18"/>
      </c>
      <c r="AA73" s="72">
        <f t="shared" si="19"/>
      </c>
      <c r="AB73" s="72">
        <f t="shared" si="20"/>
      </c>
      <c r="AC73" s="72">
        <f t="shared" si="21"/>
      </c>
      <c r="AD73" s="74">
        <f t="shared" si="108"/>
      </c>
      <c r="AE73" s="73">
        <f t="shared" si="67"/>
      </c>
      <c r="AF73" s="40">
        <f t="shared" si="68"/>
      </c>
      <c r="AG73" s="40">
        <f t="shared" si="104"/>
      </c>
      <c r="AH73" s="40">
        <f t="shared" si="24"/>
      </c>
      <c r="AI73" s="260">
        <f t="shared" si="25"/>
      </c>
      <c r="AJ73" s="40">
        <f t="shared" si="106"/>
      </c>
      <c r="AK73" s="40">
        <f t="shared" si="107"/>
      </c>
      <c r="AL73" s="261">
        <f t="shared" si="26"/>
      </c>
      <c r="AM73" s="40">
        <f t="shared" si="113"/>
      </c>
      <c r="AN73" s="40">
        <f t="shared" si="114"/>
      </c>
      <c r="AO73" s="40">
        <f t="shared" si="29"/>
      </c>
      <c r="AP73" s="40">
        <f t="shared" si="115"/>
      </c>
      <c r="AQ73" s="40">
        <f t="shared" si="116"/>
      </c>
      <c r="AR73" s="40">
        <f t="shared" si="32"/>
      </c>
      <c r="AS73" s="40">
        <f t="shared" si="33"/>
      </c>
      <c r="AT73" s="40">
        <f t="shared" si="34"/>
      </c>
      <c r="AU73" s="40">
        <f t="shared" si="35"/>
      </c>
      <c r="AV73" s="73">
        <f t="shared" si="69"/>
      </c>
      <c r="AW73" s="73">
        <f t="shared" si="70"/>
      </c>
      <c r="AX73" s="73">
        <f t="shared" si="71"/>
      </c>
      <c r="AY73" s="73">
        <f t="shared" si="72"/>
      </c>
      <c r="AZ73" s="73">
        <f t="shared" si="73"/>
      </c>
      <c r="BA73" s="73">
        <f t="shared" si="74"/>
      </c>
      <c r="BB73" s="73">
        <f t="shared" si="75"/>
      </c>
      <c r="BC73" s="73">
        <f t="shared" si="76"/>
      </c>
      <c r="BD73" s="73">
        <f t="shared" si="77"/>
      </c>
      <c r="BE73" s="73">
        <f t="shared" si="36"/>
      </c>
      <c r="BF73" s="73">
        <f t="shared" si="37"/>
      </c>
      <c r="BG73" s="73">
        <f t="shared" si="38"/>
      </c>
      <c r="BH73" s="73">
        <f t="shared" si="39"/>
      </c>
      <c r="BI73" s="73">
        <f t="shared" si="102"/>
      </c>
      <c r="BJ73" s="73">
        <f t="shared" si="103"/>
      </c>
      <c r="BK73" s="40">
        <f t="shared" si="78"/>
      </c>
      <c r="BL73" s="40">
        <f t="shared" si="79"/>
      </c>
      <c r="BM73" s="40">
        <f t="shared" si="80"/>
      </c>
      <c r="BN73" s="40">
        <f t="shared" si="40"/>
      </c>
      <c r="BO73" s="40">
        <f t="shared" si="109"/>
      </c>
      <c r="BP73" s="40">
        <f t="shared" si="117"/>
      </c>
      <c r="BQ73" s="40">
        <f t="shared" si="42"/>
      </c>
      <c r="BR73" s="40">
        <f t="shared" si="118"/>
      </c>
      <c r="BS73" s="40">
        <f t="shared" si="81"/>
      </c>
      <c r="BT73" s="40">
        <f t="shared" si="120"/>
      </c>
      <c r="BU73" s="40">
        <f t="shared" si="45"/>
      </c>
      <c r="BV73" s="75">
        <f t="shared" si="46"/>
      </c>
      <c r="BW73" s="75">
        <f t="shared" si="47"/>
      </c>
      <c r="BX73" s="40">
        <f t="shared" si="110"/>
      </c>
      <c r="BY73" s="40">
        <f t="shared" si="111"/>
      </c>
      <c r="BZ73" s="61"/>
      <c r="CA73" s="73">
        <f t="shared" si="49"/>
      </c>
      <c r="CB73" s="84"/>
      <c r="CC73" s="73">
        <f>IF(FINAL="","",SUMIF(FINAL,$H73,I_nom_A))</f>
      </c>
      <c r="CD73" s="73">
        <f t="shared" si="91"/>
      </c>
      <c r="CE73" s="73">
        <f t="shared" si="92"/>
      </c>
      <c r="CF73" s="73">
        <f t="shared" si="93"/>
      </c>
      <c r="CG73" s="73">
        <f t="shared" si="54"/>
      </c>
      <c r="CH73" s="73">
        <f t="shared" si="55"/>
      </c>
      <c r="CI73" s="73">
        <f t="shared" si="56"/>
      </c>
      <c r="CJ73" s="76">
        <f t="shared" si="57"/>
      </c>
      <c r="CK73" s="76">
        <f t="shared" si="82"/>
      </c>
      <c r="CL73" s="76">
        <f t="shared" si="83"/>
      </c>
      <c r="CM73" s="76">
        <f t="shared" si="84"/>
      </c>
      <c r="CN73" s="40">
        <f t="shared" si="112"/>
      </c>
      <c r="CO73" s="40">
        <f t="shared" si="94"/>
      </c>
      <c r="CP73" s="40">
        <f t="shared" si="95"/>
      </c>
      <c r="CQ73" s="40">
        <f t="shared" si="96"/>
      </c>
      <c r="CR73" s="40">
        <f t="shared" si="97"/>
      </c>
      <c r="CS73" s="40">
        <f t="shared" si="87"/>
      </c>
      <c r="CT73" s="40">
        <f t="shared" si="61"/>
      </c>
      <c r="CU73" s="40">
        <f t="shared" si="99"/>
      </c>
      <c r="CV73" s="40">
        <f t="shared" si="100"/>
      </c>
      <c r="CW73" s="40">
        <f t="shared" si="101"/>
      </c>
      <c r="CX73" s="40">
        <f t="shared" si="88"/>
      </c>
      <c r="CY73" s="40">
        <f t="shared" si="89"/>
      </c>
      <c r="CZ73" s="40">
        <f t="shared" si="98"/>
      </c>
      <c r="DA73" s="40">
        <f t="shared" si="66"/>
      </c>
    </row>
    <row r="74" spans="1:105" ht="12.75">
      <c r="A74" s="61"/>
      <c r="B74" s="61"/>
      <c r="C74" s="61"/>
      <c r="D74" s="61"/>
      <c r="E74" s="61"/>
      <c r="F74" s="61"/>
      <c r="G74" s="61"/>
      <c r="H74" s="120"/>
      <c r="I74" s="61"/>
      <c r="J74" s="61"/>
      <c r="K74" s="61"/>
      <c r="L74" s="61"/>
      <c r="M74" s="61"/>
      <c r="N74" s="61"/>
      <c r="O74" s="61"/>
      <c r="P74" s="61"/>
      <c r="Q74" s="120"/>
      <c r="R74" s="120"/>
      <c r="S74" s="120"/>
      <c r="T74" s="120"/>
      <c r="U74" s="72">
        <f t="shared" si="90"/>
      </c>
      <c r="V74" s="72">
        <f t="shared" si="14"/>
      </c>
      <c r="W74" s="73">
        <f t="shared" si="15"/>
      </c>
      <c r="X74" s="72">
        <f t="shared" si="16"/>
      </c>
      <c r="Y74" s="72">
        <f t="shared" si="17"/>
      </c>
      <c r="Z74" s="72">
        <f t="shared" si="18"/>
      </c>
      <c r="AA74" s="72">
        <f t="shared" si="19"/>
      </c>
      <c r="AB74" s="72">
        <f t="shared" si="20"/>
      </c>
      <c r="AC74" s="72">
        <f t="shared" si="21"/>
      </c>
      <c r="AD74" s="74">
        <f t="shared" si="108"/>
      </c>
      <c r="AE74" s="73">
        <f t="shared" si="67"/>
      </c>
      <c r="AF74" s="40">
        <f t="shared" si="68"/>
      </c>
      <c r="AG74" s="40">
        <f t="shared" si="104"/>
      </c>
      <c r="AH74" s="40">
        <f t="shared" si="24"/>
      </c>
      <c r="AI74" s="260">
        <f t="shared" si="25"/>
      </c>
      <c r="AJ74" s="40">
        <f t="shared" si="106"/>
      </c>
      <c r="AK74" s="40">
        <f t="shared" si="107"/>
      </c>
      <c r="AL74" s="261">
        <f t="shared" si="26"/>
      </c>
      <c r="AM74" s="40">
        <f t="shared" si="113"/>
      </c>
      <c r="AN74" s="40">
        <f t="shared" si="114"/>
      </c>
      <c r="AO74" s="40">
        <f t="shared" si="29"/>
      </c>
      <c r="AP74" s="40">
        <f t="shared" si="115"/>
      </c>
      <c r="AQ74" s="40">
        <f t="shared" si="116"/>
      </c>
      <c r="AR74" s="40">
        <f t="shared" si="32"/>
      </c>
      <c r="AS74" s="40">
        <f t="shared" si="33"/>
      </c>
      <c r="AT74" s="40">
        <f t="shared" si="34"/>
      </c>
      <c r="AU74" s="40">
        <f t="shared" si="35"/>
      </c>
      <c r="AV74" s="73">
        <f t="shared" si="69"/>
      </c>
      <c r="AW74" s="73">
        <f t="shared" si="70"/>
      </c>
      <c r="AX74" s="73">
        <f t="shared" si="71"/>
      </c>
      <c r="AY74" s="73">
        <f t="shared" si="72"/>
      </c>
      <c r="AZ74" s="73">
        <f t="shared" si="73"/>
      </c>
      <c r="BA74" s="73">
        <f t="shared" si="74"/>
      </c>
      <c r="BB74" s="73">
        <f t="shared" si="75"/>
      </c>
      <c r="BC74" s="73">
        <f t="shared" si="76"/>
      </c>
      <c r="BD74" s="73">
        <f t="shared" si="77"/>
      </c>
      <c r="BE74" s="73">
        <f t="shared" si="36"/>
      </c>
      <c r="BF74" s="73">
        <f t="shared" si="37"/>
      </c>
      <c r="BG74" s="73">
        <f t="shared" si="38"/>
      </c>
      <c r="BH74" s="73">
        <f t="shared" si="39"/>
      </c>
      <c r="BI74" s="73">
        <f t="shared" si="102"/>
      </c>
      <c r="BJ74" s="73">
        <f t="shared" si="103"/>
      </c>
      <c r="BK74" s="40">
        <f t="shared" si="78"/>
      </c>
      <c r="BL74" s="40">
        <f t="shared" si="79"/>
      </c>
      <c r="BM74" s="40">
        <f t="shared" si="80"/>
      </c>
      <c r="BN74" s="40">
        <f t="shared" si="40"/>
      </c>
      <c r="BO74" s="40">
        <f t="shared" si="109"/>
      </c>
      <c r="BP74" s="40">
        <f t="shared" si="117"/>
      </c>
      <c r="BQ74" s="40">
        <f t="shared" si="42"/>
      </c>
      <c r="BR74" s="40">
        <f t="shared" si="118"/>
      </c>
      <c r="BS74" s="40">
        <f t="shared" si="81"/>
      </c>
      <c r="BT74" s="40">
        <f t="shared" si="120"/>
      </c>
      <c r="BU74" s="40">
        <f t="shared" si="45"/>
      </c>
      <c r="BV74" s="75">
        <f t="shared" si="46"/>
      </c>
      <c r="BW74" s="75">
        <f t="shared" si="47"/>
      </c>
      <c r="BX74" s="40">
        <f t="shared" si="110"/>
      </c>
      <c r="BY74" s="40">
        <f t="shared" si="111"/>
      </c>
      <c r="BZ74" s="61"/>
      <c r="CA74" s="73">
        <f t="shared" si="49"/>
      </c>
      <c r="CB74" s="84"/>
      <c r="CC74" s="73">
        <f t="shared" si="50"/>
      </c>
      <c r="CD74" s="73">
        <f t="shared" si="91"/>
      </c>
      <c r="CE74" s="73">
        <f t="shared" si="92"/>
      </c>
      <c r="CF74" s="73">
        <f t="shared" si="93"/>
      </c>
      <c r="CG74" s="73">
        <f t="shared" si="54"/>
      </c>
      <c r="CH74" s="73">
        <f t="shared" si="55"/>
      </c>
      <c r="CI74" s="73">
        <f t="shared" si="56"/>
      </c>
      <c r="CJ74" s="76">
        <f t="shared" si="57"/>
      </c>
      <c r="CK74" s="76">
        <f t="shared" si="82"/>
      </c>
      <c r="CL74" s="76">
        <f t="shared" si="83"/>
      </c>
      <c r="CM74" s="76">
        <f t="shared" si="84"/>
      </c>
      <c r="CN74" s="40">
        <f t="shared" si="112"/>
      </c>
      <c r="CO74" s="40">
        <f t="shared" si="94"/>
      </c>
      <c r="CP74" s="40">
        <f t="shared" si="95"/>
      </c>
      <c r="CQ74" s="40">
        <f t="shared" si="96"/>
      </c>
      <c r="CR74" s="40">
        <f t="shared" si="97"/>
      </c>
      <c r="CS74" s="40">
        <f t="shared" si="87"/>
      </c>
      <c r="CT74" s="40">
        <f t="shared" si="61"/>
      </c>
      <c r="CU74" s="40">
        <f t="shared" si="99"/>
      </c>
      <c r="CV74" s="40">
        <f t="shared" si="100"/>
      </c>
      <c r="CW74" s="40">
        <f t="shared" si="101"/>
      </c>
      <c r="CX74" s="40">
        <f t="shared" si="88"/>
      </c>
      <c r="CY74" s="40">
        <f t="shared" si="89"/>
      </c>
      <c r="CZ74" s="40">
        <f t="shared" si="98"/>
      </c>
      <c r="DA74" s="40">
        <f t="shared" si="66"/>
      </c>
    </row>
    <row r="75" spans="1:105" ht="12.75">
      <c r="A75" s="61"/>
      <c r="B75" s="61"/>
      <c r="C75" s="61"/>
      <c r="D75" s="61"/>
      <c r="E75" s="61"/>
      <c r="F75" s="61"/>
      <c r="G75" s="61"/>
      <c r="H75" s="120"/>
      <c r="I75" s="61"/>
      <c r="J75" s="61"/>
      <c r="K75" s="61"/>
      <c r="L75" s="61"/>
      <c r="M75" s="61"/>
      <c r="N75" s="61"/>
      <c r="O75" s="61"/>
      <c r="P75" s="61"/>
      <c r="Q75" s="120"/>
      <c r="R75" s="120"/>
      <c r="S75" s="120"/>
      <c r="T75" s="120"/>
      <c r="U75" s="72">
        <f t="shared" si="90"/>
      </c>
      <c r="V75" s="72">
        <f t="shared" si="14"/>
      </c>
      <c r="W75" s="73">
        <f t="shared" si="15"/>
      </c>
      <c r="X75" s="72">
        <f t="shared" si="16"/>
      </c>
      <c r="Y75" s="72">
        <f t="shared" si="17"/>
      </c>
      <c r="Z75" s="72">
        <f t="shared" si="18"/>
      </c>
      <c r="AA75" s="72">
        <f t="shared" si="19"/>
      </c>
      <c r="AB75" s="72">
        <f t="shared" si="20"/>
      </c>
      <c r="AC75" s="72">
        <f t="shared" si="21"/>
      </c>
      <c r="AD75" s="74">
        <f t="shared" si="108"/>
      </c>
      <c r="AE75" s="73">
        <f t="shared" si="67"/>
      </c>
      <c r="AF75" s="40">
        <f t="shared" si="68"/>
      </c>
      <c r="AG75" s="40">
        <f t="shared" si="104"/>
      </c>
      <c r="AH75" s="40">
        <f t="shared" si="24"/>
      </c>
      <c r="AI75" s="260">
        <f t="shared" si="25"/>
      </c>
      <c r="AJ75" s="40">
        <f t="shared" si="106"/>
      </c>
      <c r="AK75" s="40">
        <f t="shared" si="107"/>
      </c>
      <c r="AL75" s="261">
        <f t="shared" si="26"/>
      </c>
      <c r="AM75" s="40">
        <f t="shared" si="113"/>
      </c>
      <c r="AN75" s="40">
        <f t="shared" si="114"/>
      </c>
      <c r="AO75" s="40">
        <f t="shared" si="29"/>
      </c>
      <c r="AP75" s="40">
        <f t="shared" si="115"/>
      </c>
      <c r="AQ75" s="40">
        <f t="shared" si="116"/>
      </c>
      <c r="AR75" s="40">
        <f t="shared" si="32"/>
      </c>
      <c r="AS75" s="40">
        <f t="shared" si="33"/>
      </c>
      <c r="AT75" s="40">
        <f t="shared" si="34"/>
      </c>
      <c r="AU75" s="40">
        <f t="shared" si="35"/>
      </c>
      <c r="AV75" s="73">
        <f t="shared" si="69"/>
      </c>
      <c r="AW75" s="73">
        <f t="shared" si="70"/>
      </c>
      <c r="AX75" s="73">
        <f t="shared" si="71"/>
      </c>
      <c r="AY75" s="73">
        <f t="shared" si="72"/>
      </c>
      <c r="AZ75" s="73">
        <f t="shared" si="73"/>
      </c>
      <c r="BA75" s="73">
        <f t="shared" si="74"/>
      </c>
      <c r="BB75" s="73">
        <f t="shared" si="75"/>
      </c>
      <c r="BC75" s="73">
        <f t="shared" si="76"/>
      </c>
      <c r="BD75" s="73">
        <f t="shared" si="77"/>
      </c>
      <c r="BE75" s="73">
        <f t="shared" si="36"/>
      </c>
      <c r="BF75" s="73">
        <f t="shared" si="37"/>
      </c>
      <c r="BG75" s="73">
        <f t="shared" si="38"/>
      </c>
      <c r="BH75" s="73">
        <f t="shared" si="39"/>
      </c>
      <c r="BI75" s="73">
        <f t="shared" si="102"/>
      </c>
      <c r="BJ75" s="73">
        <f t="shared" si="103"/>
      </c>
      <c r="BK75" s="40">
        <f t="shared" si="78"/>
      </c>
      <c r="BL75" s="40">
        <f t="shared" si="79"/>
      </c>
      <c r="BM75" s="40">
        <f t="shared" si="80"/>
      </c>
      <c r="BN75" s="40">
        <f t="shared" si="40"/>
      </c>
      <c r="BO75" s="40">
        <f t="shared" si="109"/>
      </c>
      <c r="BP75" s="40">
        <f t="shared" si="117"/>
      </c>
      <c r="BQ75" s="40">
        <f t="shared" si="42"/>
      </c>
      <c r="BR75" s="40">
        <f t="shared" si="118"/>
      </c>
      <c r="BS75" s="40">
        <f t="shared" si="81"/>
      </c>
      <c r="BT75" s="40">
        <f t="shared" si="120"/>
      </c>
      <c r="BU75" s="40">
        <f t="shared" si="45"/>
      </c>
      <c r="BV75" s="75">
        <f t="shared" si="46"/>
      </c>
      <c r="BW75" s="75">
        <f t="shared" si="47"/>
      </c>
      <c r="BX75" s="40">
        <f t="shared" si="110"/>
      </c>
      <c r="BY75" s="40">
        <f t="shared" si="111"/>
      </c>
      <c r="BZ75" s="61"/>
      <c r="CA75" s="73">
        <f t="shared" si="49"/>
      </c>
      <c r="CB75" s="84"/>
      <c r="CC75" s="73">
        <f t="shared" si="50"/>
      </c>
      <c r="CD75" s="73">
        <f t="shared" si="91"/>
      </c>
      <c r="CE75" s="73">
        <f t="shared" si="92"/>
      </c>
      <c r="CF75" s="73">
        <f t="shared" si="93"/>
      </c>
      <c r="CG75" s="73">
        <f t="shared" si="54"/>
      </c>
      <c r="CH75" s="73">
        <f t="shared" si="55"/>
      </c>
      <c r="CI75" s="73">
        <f t="shared" si="56"/>
      </c>
      <c r="CJ75" s="76">
        <f t="shared" si="57"/>
      </c>
      <c r="CK75" s="76">
        <f t="shared" si="82"/>
      </c>
      <c r="CL75" s="76">
        <f t="shared" si="83"/>
      </c>
      <c r="CM75" s="76">
        <f t="shared" si="84"/>
      </c>
      <c r="CN75" s="40">
        <f t="shared" si="112"/>
      </c>
      <c r="CO75" s="40">
        <f t="shared" si="94"/>
      </c>
      <c r="CP75" s="40">
        <f t="shared" si="95"/>
      </c>
      <c r="CQ75" s="40">
        <f t="shared" si="96"/>
      </c>
      <c r="CR75" s="40">
        <f t="shared" si="97"/>
      </c>
      <c r="CS75" s="40">
        <f t="shared" si="87"/>
      </c>
      <c r="CT75" s="40">
        <f t="shared" si="61"/>
      </c>
      <c r="CU75" s="40">
        <f t="shared" si="99"/>
      </c>
      <c r="CV75" s="40">
        <f t="shared" si="100"/>
      </c>
      <c r="CW75" s="40">
        <f t="shared" si="101"/>
      </c>
      <c r="CX75" s="40">
        <f t="shared" si="88"/>
      </c>
      <c r="CY75" s="40">
        <f t="shared" si="89"/>
      </c>
      <c r="CZ75" s="40">
        <f t="shared" si="98"/>
      </c>
      <c r="DA75" s="40">
        <f t="shared" si="66"/>
      </c>
    </row>
    <row r="76" spans="1:105" ht="12.75">
      <c r="A76" s="61"/>
      <c r="B76" s="61"/>
      <c r="C76" s="61"/>
      <c r="D76" s="61"/>
      <c r="E76" s="61"/>
      <c r="F76" s="61"/>
      <c r="G76" s="61"/>
      <c r="H76" s="120"/>
      <c r="I76" s="61"/>
      <c r="J76" s="61"/>
      <c r="K76" s="61"/>
      <c r="L76" s="61"/>
      <c r="M76" s="61"/>
      <c r="N76" s="61"/>
      <c r="O76" s="61"/>
      <c r="P76" s="61"/>
      <c r="Q76" s="120"/>
      <c r="R76" s="120"/>
      <c r="S76" s="120"/>
      <c r="T76" s="120"/>
      <c r="U76" s="72">
        <f t="shared" si="90"/>
      </c>
      <c r="V76" s="72">
        <f t="shared" si="14"/>
      </c>
      <c r="W76" s="73">
        <f t="shared" si="15"/>
      </c>
      <c r="X76" s="72">
        <f t="shared" si="16"/>
      </c>
      <c r="Y76" s="72">
        <f t="shared" si="17"/>
      </c>
      <c r="Z76" s="72">
        <f t="shared" si="18"/>
      </c>
      <c r="AA76" s="72">
        <f t="shared" si="19"/>
      </c>
      <c r="AB76" s="72">
        <f t="shared" si="20"/>
      </c>
      <c r="AC76" s="72">
        <f t="shared" si="21"/>
      </c>
      <c r="AD76" s="74">
        <f t="shared" si="108"/>
      </c>
      <c r="AE76" s="73">
        <f t="shared" si="67"/>
      </c>
      <c r="AF76" s="40">
        <f t="shared" si="68"/>
      </c>
      <c r="AG76" s="40">
        <f t="shared" si="104"/>
      </c>
      <c r="AH76" s="40">
        <f t="shared" si="24"/>
      </c>
      <c r="AI76" s="260">
        <f t="shared" si="25"/>
      </c>
      <c r="AJ76" s="40">
        <f t="shared" si="106"/>
      </c>
      <c r="AK76" s="40">
        <f t="shared" si="107"/>
      </c>
      <c r="AL76" s="261">
        <f t="shared" si="26"/>
      </c>
      <c r="AM76" s="40">
        <f t="shared" si="113"/>
      </c>
      <c r="AN76" s="40">
        <f t="shared" si="114"/>
      </c>
      <c r="AO76" s="40">
        <f t="shared" si="29"/>
      </c>
      <c r="AP76" s="40">
        <f t="shared" si="115"/>
      </c>
      <c r="AQ76" s="40">
        <f t="shared" si="116"/>
      </c>
      <c r="AR76" s="40">
        <f t="shared" si="32"/>
      </c>
      <c r="AS76" s="40">
        <f t="shared" si="33"/>
      </c>
      <c r="AT76" s="40">
        <f t="shared" si="34"/>
      </c>
      <c r="AU76" s="40">
        <f t="shared" si="35"/>
      </c>
      <c r="AV76" s="73">
        <f t="shared" si="69"/>
      </c>
      <c r="AW76" s="73">
        <f t="shared" si="70"/>
      </c>
      <c r="AX76" s="73">
        <f t="shared" si="71"/>
      </c>
      <c r="AY76" s="73">
        <f t="shared" si="72"/>
      </c>
      <c r="AZ76" s="73">
        <f t="shared" si="73"/>
      </c>
      <c r="BA76" s="73">
        <f t="shared" si="74"/>
      </c>
      <c r="BB76" s="73">
        <f t="shared" si="75"/>
      </c>
      <c r="BC76" s="73">
        <f t="shared" si="76"/>
      </c>
      <c r="BD76" s="73">
        <f t="shared" si="77"/>
      </c>
      <c r="BE76" s="73">
        <f t="shared" si="36"/>
      </c>
      <c r="BF76" s="73">
        <f t="shared" si="37"/>
      </c>
      <c r="BG76" s="73">
        <f t="shared" si="38"/>
      </c>
      <c r="BH76" s="73">
        <f t="shared" si="39"/>
      </c>
      <c r="BI76" s="73">
        <f t="shared" si="102"/>
      </c>
      <c r="BJ76" s="73">
        <f t="shared" si="103"/>
      </c>
      <c r="BK76" s="40">
        <f t="shared" si="78"/>
      </c>
      <c r="BL76" s="40">
        <f t="shared" si="79"/>
      </c>
      <c r="BM76" s="40">
        <f t="shared" si="80"/>
      </c>
      <c r="BN76" s="40">
        <f t="shared" si="40"/>
      </c>
      <c r="BO76" s="40">
        <f t="shared" si="109"/>
      </c>
      <c r="BP76" s="40">
        <f t="shared" si="117"/>
      </c>
      <c r="BQ76" s="40">
        <f t="shared" si="42"/>
      </c>
      <c r="BR76" s="40">
        <f t="shared" si="118"/>
      </c>
      <c r="BS76" s="40">
        <f t="shared" si="81"/>
      </c>
      <c r="BT76" s="40">
        <f t="shared" si="120"/>
      </c>
      <c r="BU76" s="40">
        <f t="shared" si="45"/>
      </c>
      <c r="BV76" s="75">
        <f t="shared" si="46"/>
      </c>
      <c r="BW76" s="75">
        <f t="shared" si="47"/>
      </c>
      <c r="BX76" s="40">
        <f t="shared" si="110"/>
      </c>
      <c r="BY76" s="40">
        <f t="shared" si="111"/>
      </c>
      <c r="BZ76" s="61"/>
      <c r="CA76" s="73">
        <f t="shared" si="49"/>
      </c>
      <c r="CB76" s="84"/>
      <c r="CC76" s="73">
        <f t="shared" si="50"/>
      </c>
      <c r="CD76" s="73">
        <f t="shared" si="91"/>
      </c>
      <c r="CE76" s="73">
        <f t="shared" si="92"/>
      </c>
      <c r="CF76" s="73">
        <f t="shared" si="93"/>
      </c>
      <c r="CG76" s="73">
        <f t="shared" si="54"/>
      </c>
      <c r="CH76" s="73">
        <f t="shared" si="55"/>
      </c>
      <c r="CI76" s="73">
        <f t="shared" si="56"/>
      </c>
      <c r="CJ76" s="76">
        <f t="shared" si="57"/>
      </c>
      <c r="CK76" s="76">
        <f t="shared" si="82"/>
      </c>
      <c r="CL76" s="76">
        <f t="shared" si="83"/>
      </c>
      <c r="CM76" s="76">
        <f t="shared" si="84"/>
      </c>
      <c r="CN76" s="40">
        <f t="shared" si="112"/>
      </c>
      <c r="CO76" s="40">
        <f t="shared" si="94"/>
      </c>
      <c r="CP76" s="40">
        <f t="shared" si="95"/>
      </c>
      <c r="CQ76" s="40">
        <f t="shared" si="96"/>
      </c>
      <c r="CR76" s="40">
        <f t="shared" si="97"/>
      </c>
      <c r="CS76" s="40">
        <f t="shared" si="87"/>
      </c>
      <c r="CT76" s="40">
        <f t="shared" si="61"/>
      </c>
      <c r="CU76" s="40">
        <f t="shared" si="99"/>
      </c>
      <c r="CV76" s="40">
        <f t="shared" si="100"/>
      </c>
      <c r="CW76" s="40">
        <f t="shared" si="101"/>
      </c>
      <c r="CX76" s="40">
        <f t="shared" si="88"/>
      </c>
      <c r="CY76" s="40">
        <f t="shared" si="89"/>
      </c>
      <c r="CZ76" s="40">
        <f t="shared" si="98"/>
      </c>
      <c r="DA76" s="40">
        <f t="shared" si="66"/>
      </c>
    </row>
    <row r="77" spans="1:105" ht="12.75">
      <c r="A77" s="61"/>
      <c r="B77" s="61"/>
      <c r="C77" s="61"/>
      <c r="D77" s="61"/>
      <c r="E77" s="61"/>
      <c r="F77" s="61"/>
      <c r="G77" s="61"/>
      <c r="H77" s="120"/>
      <c r="I77" s="61"/>
      <c r="J77" s="61"/>
      <c r="K77" s="61"/>
      <c r="L77" s="61"/>
      <c r="M77" s="61"/>
      <c r="N77" s="61"/>
      <c r="O77" s="61"/>
      <c r="P77" s="61"/>
      <c r="Q77" s="120"/>
      <c r="R77" s="120"/>
      <c r="S77" s="120"/>
      <c r="T77" s="120"/>
      <c r="U77" s="72">
        <f t="shared" si="90"/>
      </c>
      <c r="V77" s="72">
        <f t="shared" si="14"/>
      </c>
      <c r="W77" s="73">
        <f t="shared" si="15"/>
      </c>
      <c r="X77" s="72">
        <f t="shared" si="16"/>
      </c>
      <c r="Y77" s="72">
        <f t="shared" si="17"/>
      </c>
      <c r="Z77" s="72">
        <f t="shared" si="18"/>
      </c>
      <c r="AA77" s="72">
        <f t="shared" si="19"/>
      </c>
      <c r="AB77" s="72">
        <f t="shared" si="20"/>
      </c>
      <c r="AC77" s="72">
        <f t="shared" si="21"/>
      </c>
      <c r="AD77" s="74">
        <f t="shared" si="108"/>
      </c>
      <c r="AE77" s="73">
        <f t="shared" si="67"/>
      </c>
      <c r="AF77" s="40">
        <f t="shared" si="68"/>
      </c>
      <c r="AG77" s="40">
        <f t="shared" si="104"/>
      </c>
      <c r="AH77" s="40">
        <f t="shared" si="24"/>
      </c>
      <c r="AI77" s="260">
        <f t="shared" si="25"/>
      </c>
      <c r="AJ77" s="40">
        <f t="shared" si="106"/>
      </c>
      <c r="AK77" s="40">
        <f t="shared" si="107"/>
      </c>
      <c r="AL77" s="261">
        <f t="shared" si="26"/>
      </c>
      <c r="AM77" s="40">
        <f t="shared" si="113"/>
      </c>
      <c r="AN77" s="40">
        <f t="shared" si="114"/>
      </c>
      <c r="AO77" s="40">
        <f t="shared" si="29"/>
      </c>
      <c r="AP77" s="40">
        <f t="shared" si="115"/>
      </c>
      <c r="AQ77" s="40">
        <f t="shared" si="116"/>
      </c>
      <c r="AR77" s="40">
        <f t="shared" si="32"/>
      </c>
      <c r="AS77" s="40">
        <f t="shared" si="33"/>
      </c>
      <c r="AT77" s="40">
        <f t="shared" si="34"/>
      </c>
      <c r="AU77" s="40">
        <f t="shared" si="35"/>
      </c>
      <c r="AV77" s="73">
        <f t="shared" si="69"/>
      </c>
      <c r="AW77" s="73">
        <f t="shared" si="70"/>
      </c>
      <c r="AX77" s="73">
        <f t="shared" si="71"/>
      </c>
      <c r="AY77" s="73">
        <f t="shared" si="72"/>
      </c>
      <c r="AZ77" s="73">
        <f t="shared" si="73"/>
      </c>
      <c r="BA77" s="73">
        <f t="shared" si="74"/>
      </c>
      <c r="BB77" s="73">
        <f t="shared" si="75"/>
      </c>
      <c r="BC77" s="73">
        <f t="shared" si="76"/>
      </c>
      <c r="BD77" s="73">
        <f t="shared" si="77"/>
      </c>
      <c r="BE77" s="73">
        <f t="shared" si="36"/>
      </c>
      <c r="BF77" s="73">
        <f t="shared" si="37"/>
      </c>
      <c r="BG77" s="73">
        <f t="shared" si="38"/>
      </c>
      <c r="BH77" s="73">
        <f t="shared" si="39"/>
      </c>
      <c r="BI77" s="73">
        <f t="shared" si="102"/>
      </c>
      <c r="BJ77" s="73">
        <f t="shared" si="103"/>
      </c>
      <c r="BK77" s="40">
        <f t="shared" si="78"/>
      </c>
      <c r="BL77" s="40">
        <f t="shared" si="79"/>
      </c>
      <c r="BM77" s="40">
        <f t="shared" si="80"/>
      </c>
      <c r="BN77" s="40">
        <f t="shared" si="40"/>
      </c>
      <c r="BO77" s="40">
        <f t="shared" si="109"/>
      </c>
      <c r="BP77" s="40">
        <f t="shared" si="117"/>
      </c>
      <c r="BQ77" s="40">
        <f t="shared" si="42"/>
      </c>
      <c r="BR77" s="40">
        <f t="shared" si="118"/>
      </c>
      <c r="BS77" s="40">
        <f t="shared" si="81"/>
      </c>
      <c r="BT77" s="40">
        <f t="shared" si="120"/>
      </c>
      <c r="BU77" s="40">
        <f t="shared" si="45"/>
      </c>
      <c r="BV77" s="75">
        <f t="shared" si="46"/>
      </c>
      <c r="BW77" s="75">
        <f t="shared" si="47"/>
      </c>
      <c r="BX77" s="40">
        <f t="shared" si="110"/>
      </c>
      <c r="BY77" s="40">
        <f t="shared" si="111"/>
      </c>
      <c r="BZ77" s="61"/>
      <c r="CA77" s="73">
        <f t="shared" si="49"/>
      </c>
      <c r="CB77" s="84"/>
      <c r="CC77" s="73">
        <f t="shared" si="50"/>
      </c>
      <c r="CD77" s="73">
        <f t="shared" si="91"/>
      </c>
      <c r="CE77" s="73">
        <f t="shared" si="92"/>
      </c>
      <c r="CF77" s="73">
        <f t="shared" si="93"/>
      </c>
      <c r="CG77" s="73">
        <f t="shared" si="54"/>
      </c>
      <c r="CH77" s="73">
        <f t="shared" si="55"/>
      </c>
      <c r="CI77" s="73">
        <f t="shared" si="56"/>
      </c>
      <c r="CJ77" s="76">
        <f t="shared" si="57"/>
      </c>
      <c r="CK77" s="76">
        <f t="shared" si="82"/>
      </c>
      <c r="CL77" s="76">
        <f t="shared" si="83"/>
      </c>
      <c r="CM77" s="76">
        <f t="shared" si="84"/>
      </c>
      <c r="CN77" s="40">
        <f t="shared" si="112"/>
      </c>
      <c r="CO77" s="40">
        <f t="shared" si="94"/>
      </c>
      <c r="CP77" s="40">
        <f t="shared" si="95"/>
      </c>
      <c r="CQ77" s="40">
        <f t="shared" si="96"/>
      </c>
      <c r="CR77" s="40">
        <f t="shared" si="97"/>
      </c>
      <c r="CS77" s="40">
        <f t="shared" si="87"/>
      </c>
      <c r="CT77" s="40">
        <f t="shared" si="61"/>
      </c>
      <c r="CU77" s="40">
        <f t="shared" si="99"/>
      </c>
      <c r="CV77" s="40">
        <f t="shared" si="100"/>
      </c>
      <c r="CW77" s="40">
        <f t="shared" si="101"/>
      </c>
      <c r="CX77" s="40">
        <f t="shared" si="88"/>
      </c>
      <c r="CY77" s="40">
        <f t="shared" si="89"/>
      </c>
      <c r="CZ77" s="40">
        <f t="shared" si="98"/>
      </c>
      <c r="DA77" s="40">
        <f t="shared" si="66"/>
      </c>
    </row>
    <row r="78" spans="1:105" ht="12.75">
      <c r="A78" s="61"/>
      <c r="B78" s="61"/>
      <c r="C78" s="61"/>
      <c r="D78" s="61"/>
      <c r="E78" s="61"/>
      <c r="F78" s="61"/>
      <c r="G78" s="61"/>
      <c r="H78" s="120"/>
      <c r="I78" s="61"/>
      <c r="J78" s="61"/>
      <c r="K78" s="61"/>
      <c r="L78" s="61"/>
      <c r="M78" s="61"/>
      <c r="N78" s="61"/>
      <c r="O78" s="61"/>
      <c r="P78" s="61"/>
      <c r="Q78" s="120"/>
      <c r="R78" s="120"/>
      <c r="S78" s="120"/>
      <c r="T78" s="120"/>
      <c r="U78" s="72">
        <f t="shared" si="90"/>
      </c>
      <c r="V78" s="72">
        <f t="shared" si="14"/>
      </c>
      <c r="W78" s="73">
        <f t="shared" si="15"/>
      </c>
      <c r="X78" s="72">
        <f t="shared" si="16"/>
      </c>
      <c r="Y78" s="72">
        <f t="shared" si="17"/>
      </c>
      <c r="Z78" s="72">
        <f t="shared" si="18"/>
      </c>
      <c r="AA78" s="72">
        <f t="shared" si="19"/>
      </c>
      <c r="AB78" s="72">
        <f t="shared" si="20"/>
      </c>
      <c r="AC78" s="72">
        <f t="shared" si="21"/>
      </c>
      <c r="AD78" s="74">
        <f t="shared" si="108"/>
      </c>
      <c r="AE78" s="73">
        <f t="shared" si="67"/>
      </c>
      <c r="AF78" s="40">
        <f t="shared" si="68"/>
      </c>
      <c r="AG78" s="40">
        <f t="shared" si="104"/>
      </c>
      <c r="AH78" s="40">
        <f t="shared" si="24"/>
      </c>
      <c r="AI78" s="260">
        <f t="shared" si="25"/>
      </c>
      <c r="AJ78" s="40">
        <f t="shared" si="106"/>
      </c>
      <c r="AK78" s="40">
        <f t="shared" si="107"/>
      </c>
      <c r="AL78" s="261">
        <f t="shared" si="26"/>
      </c>
      <c r="AM78" s="40">
        <f t="shared" si="113"/>
      </c>
      <c r="AN78" s="40">
        <f t="shared" si="114"/>
      </c>
      <c r="AO78" s="40">
        <f t="shared" si="29"/>
      </c>
      <c r="AP78" s="40">
        <f t="shared" si="115"/>
      </c>
      <c r="AQ78" s="40">
        <f t="shared" si="116"/>
      </c>
      <c r="AR78" s="40">
        <f t="shared" si="32"/>
      </c>
      <c r="AS78" s="40">
        <f t="shared" si="33"/>
      </c>
      <c r="AT78" s="40">
        <f t="shared" si="34"/>
      </c>
      <c r="AU78" s="40">
        <f t="shared" si="35"/>
      </c>
      <c r="AV78" s="73">
        <f t="shared" si="69"/>
      </c>
      <c r="AW78" s="73">
        <f t="shared" si="70"/>
      </c>
      <c r="AX78" s="73">
        <f t="shared" si="71"/>
      </c>
      <c r="AY78" s="73">
        <f t="shared" si="72"/>
      </c>
      <c r="AZ78" s="73">
        <f t="shared" si="73"/>
      </c>
      <c r="BA78" s="73">
        <f t="shared" si="74"/>
      </c>
      <c r="BB78" s="73">
        <f t="shared" si="75"/>
      </c>
      <c r="BC78" s="73">
        <f t="shared" si="76"/>
      </c>
      <c r="BD78" s="73">
        <f t="shared" si="77"/>
      </c>
      <c r="BE78" s="73">
        <f t="shared" si="36"/>
      </c>
      <c r="BF78" s="73">
        <f t="shared" si="37"/>
      </c>
      <c r="BG78" s="73">
        <f t="shared" si="38"/>
      </c>
      <c r="BH78" s="73">
        <f t="shared" si="39"/>
      </c>
      <c r="BI78" s="73">
        <f t="shared" si="102"/>
      </c>
      <c r="BJ78" s="73">
        <f t="shared" si="103"/>
      </c>
      <c r="BK78" s="40">
        <f t="shared" si="78"/>
      </c>
      <c r="BL78" s="40">
        <f t="shared" si="79"/>
      </c>
      <c r="BM78" s="40">
        <f t="shared" si="80"/>
      </c>
      <c r="BN78" s="40">
        <f t="shared" si="40"/>
      </c>
      <c r="BO78" s="40">
        <f t="shared" si="109"/>
      </c>
      <c r="BP78" s="40">
        <f t="shared" si="117"/>
      </c>
      <c r="BQ78" s="40">
        <f t="shared" si="42"/>
      </c>
      <c r="BR78" s="40">
        <f t="shared" si="118"/>
      </c>
      <c r="BS78" s="40">
        <f t="shared" si="81"/>
      </c>
      <c r="BT78" s="40">
        <f t="shared" si="120"/>
      </c>
      <c r="BU78" s="40">
        <f t="shared" si="45"/>
      </c>
      <c r="BV78" s="75">
        <f t="shared" si="46"/>
      </c>
      <c r="BW78" s="75">
        <f t="shared" si="47"/>
      </c>
      <c r="BX78" s="40">
        <f t="shared" si="110"/>
      </c>
      <c r="BY78" s="40">
        <f t="shared" si="111"/>
      </c>
      <c r="BZ78" s="61"/>
      <c r="CA78" s="73">
        <f t="shared" si="49"/>
      </c>
      <c r="CB78" s="84"/>
      <c r="CC78" s="73">
        <f t="shared" si="50"/>
      </c>
      <c r="CD78" s="73">
        <f t="shared" si="91"/>
      </c>
      <c r="CE78" s="73">
        <f t="shared" si="92"/>
      </c>
      <c r="CF78" s="73">
        <f t="shared" si="93"/>
      </c>
      <c r="CG78" s="73">
        <f t="shared" si="54"/>
      </c>
      <c r="CH78" s="73">
        <f t="shared" si="55"/>
      </c>
      <c r="CI78" s="73">
        <f t="shared" si="56"/>
      </c>
      <c r="CJ78" s="76">
        <f t="shared" si="57"/>
      </c>
      <c r="CK78" s="76">
        <f t="shared" si="82"/>
      </c>
      <c r="CL78" s="76">
        <f t="shared" si="83"/>
      </c>
      <c r="CM78" s="76">
        <f t="shared" si="84"/>
      </c>
      <c r="CN78" s="40">
        <f t="shared" si="112"/>
      </c>
      <c r="CO78" s="40">
        <f t="shared" si="94"/>
      </c>
      <c r="CP78" s="40">
        <f t="shared" si="95"/>
      </c>
      <c r="CQ78" s="40">
        <f t="shared" si="96"/>
      </c>
      <c r="CR78" s="40">
        <f t="shared" si="97"/>
      </c>
      <c r="CS78" s="40">
        <f t="shared" si="87"/>
      </c>
      <c r="CT78" s="40">
        <f t="shared" si="61"/>
      </c>
      <c r="CU78" s="40">
        <f t="shared" si="99"/>
      </c>
      <c r="CV78" s="40">
        <f t="shared" si="100"/>
      </c>
      <c r="CW78" s="40">
        <f t="shared" si="101"/>
      </c>
      <c r="CX78" s="40">
        <f t="shared" si="88"/>
      </c>
      <c r="CY78" s="40">
        <f t="shared" si="89"/>
      </c>
      <c r="CZ78" s="40">
        <f t="shared" si="98"/>
      </c>
      <c r="DA78" s="40">
        <f t="shared" si="66"/>
      </c>
    </row>
    <row r="79" spans="1:105" ht="12.75">
      <c r="A79" s="61"/>
      <c r="B79" s="61"/>
      <c r="C79" s="61"/>
      <c r="D79" s="61"/>
      <c r="E79" s="61"/>
      <c r="F79" s="61"/>
      <c r="G79" s="61"/>
      <c r="H79" s="120"/>
      <c r="I79" s="61"/>
      <c r="J79" s="61"/>
      <c r="K79" s="61"/>
      <c r="L79" s="61"/>
      <c r="M79" s="61"/>
      <c r="N79" s="61"/>
      <c r="O79" s="61"/>
      <c r="P79" s="61"/>
      <c r="Q79" s="120"/>
      <c r="R79" s="120"/>
      <c r="S79" s="120"/>
      <c r="T79" s="120"/>
      <c r="U79" s="72">
        <f t="shared" si="90"/>
      </c>
      <c r="V79" s="72">
        <f t="shared" si="14"/>
      </c>
      <c r="W79" s="73">
        <f t="shared" si="15"/>
      </c>
      <c r="X79" s="72">
        <f t="shared" si="16"/>
      </c>
      <c r="Y79" s="72">
        <f t="shared" si="17"/>
      </c>
      <c r="Z79" s="72">
        <f t="shared" si="18"/>
      </c>
      <c r="AA79" s="72">
        <f t="shared" si="19"/>
      </c>
      <c r="AB79" s="72">
        <f t="shared" si="20"/>
      </c>
      <c r="AC79" s="72">
        <f t="shared" si="21"/>
      </c>
      <c r="AD79" s="74">
        <f t="shared" si="108"/>
      </c>
      <c r="AE79" s="73">
        <f t="shared" si="67"/>
      </c>
      <c r="AF79" s="40">
        <f t="shared" si="68"/>
      </c>
      <c r="AG79" s="40">
        <f t="shared" si="104"/>
      </c>
      <c r="AH79" s="40">
        <f t="shared" si="24"/>
      </c>
      <c r="AI79" s="260">
        <f t="shared" si="25"/>
      </c>
      <c r="AJ79" s="40">
        <f t="shared" si="106"/>
      </c>
      <c r="AK79" s="40">
        <f t="shared" si="107"/>
      </c>
      <c r="AL79" s="261">
        <f t="shared" si="26"/>
      </c>
      <c r="AM79" s="40">
        <f t="shared" si="113"/>
      </c>
      <c r="AN79" s="40">
        <f t="shared" si="114"/>
      </c>
      <c r="AO79" s="40">
        <f t="shared" si="29"/>
      </c>
      <c r="AP79" s="40">
        <f t="shared" si="115"/>
      </c>
      <c r="AQ79" s="40">
        <f t="shared" si="116"/>
      </c>
      <c r="AR79" s="40">
        <f t="shared" si="32"/>
      </c>
      <c r="AS79" s="40">
        <f t="shared" si="33"/>
      </c>
      <c r="AT79" s="40">
        <f t="shared" si="34"/>
      </c>
      <c r="AU79" s="40">
        <f t="shared" si="35"/>
      </c>
      <c r="AV79" s="73">
        <f t="shared" si="69"/>
      </c>
      <c r="AW79" s="73">
        <f t="shared" si="70"/>
      </c>
      <c r="AX79" s="73">
        <f t="shared" si="71"/>
      </c>
      <c r="AY79" s="73">
        <f t="shared" si="72"/>
      </c>
      <c r="AZ79" s="73">
        <f t="shared" si="73"/>
      </c>
      <c r="BA79" s="73">
        <f t="shared" si="74"/>
      </c>
      <c r="BB79" s="73">
        <f t="shared" si="75"/>
      </c>
      <c r="BC79" s="73">
        <f t="shared" si="76"/>
      </c>
      <c r="BD79" s="73">
        <f t="shared" si="77"/>
      </c>
      <c r="BE79" s="73">
        <f t="shared" si="36"/>
      </c>
      <c r="BF79" s="73">
        <f t="shared" si="37"/>
      </c>
      <c r="BG79" s="73">
        <f t="shared" si="38"/>
      </c>
      <c r="BH79" s="73">
        <f t="shared" si="39"/>
      </c>
      <c r="BI79" s="73">
        <f t="shared" si="102"/>
      </c>
      <c r="BJ79" s="73">
        <f t="shared" si="103"/>
      </c>
      <c r="BK79" s="40">
        <f t="shared" si="78"/>
      </c>
      <c r="BL79" s="40">
        <f t="shared" si="79"/>
      </c>
      <c r="BM79" s="40">
        <f t="shared" si="80"/>
      </c>
      <c r="BN79" s="40">
        <f t="shared" si="40"/>
      </c>
      <c r="BO79" s="40">
        <f t="shared" si="109"/>
      </c>
      <c r="BP79" s="40">
        <f t="shared" si="117"/>
      </c>
      <c r="BQ79" s="40">
        <f t="shared" si="42"/>
      </c>
      <c r="BR79" s="40">
        <f t="shared" si="118"/>
      </c>
      <c r="BS79" s="40">
        <f t="shared" si="81"/>
      </c>
      <c r="BT79" s="40">
        <f t="shared" si="120"/>
      </c>
      <c r="BU79" s="40">
        <f t="shared" si="45"/>
      </c>
      <c r="BV79" s="75">
        <f t="shared" si="46"/>
      </c>
      <c r="BW79" s="75">
        <f t="shared" si="47"/>
      </c>
      <c r="BX79" s="40">
        <f t="shared" si="110"/>
      </c>
      <c r="BY79" s="40">
        <f t="shared" si="111"/>
      </c>
      <c r="BZ79" s="61"/>
      <c r="CA79" s="73">
        <f t="shared" si="49"/>
      </c>
      <c r="CB79" s="84"/>
      <c r="CC79" s="73">
        <f t="shared" si="50"/>
      </c>
      <c r="CD79" s="73">
        <f t="shared" si="91"/>
      </c>
      <c r="CE79" s="73">
        <f t="shared" si="92"/>
      </c>
      <c r="CF79" s="73">
        <f t="shared" si="93"/>
      </c>
      <c r="CG79" s="73">
        <f t="shared" si="54"/>
      </c>
      <c r="CH79" s="73">
        <f t="shared" si="55"/>
      </c>
      <c r="CI79" s="73">
        <f t="shared" si="56"/>
      </c>
      <c r="CJ79" s="76">
        <f t="shared" si="57"/>
      </c>
      <c r="CK79" s="76">
        <f t="shared" si="82"/>
      </c>
      <c r="CL79" s="76">
        <f t="shared" si="83"/>
      </c>
      <c r="CM79" s="76">
        <f t="shared" si="84"/>
      </c>
      <c r="CN79" s="40">
        <f t="shared" si="112"/>
      </c>
      <c r="CO79" s="40">
        <f t="shared" si="94"/>
      </c>
      <c r="CP79" s="40">
        <f t="shared" si="95"/>
      </c>
      <c r="CQ79" s="40">
        <f t="shared" si="96"/>
      </c>
      <c r="CR79" s="40">
        <f t="shared" si="97"/>
      </c>
      <c r="CS79" s="40">
        <f t="shared" si="87"/>
      </c>
      <c r="CT79" s="40">
        <f t="shared" si="61"/>
      </c>
      <c r="CU79" s="40">
        <f t="shared" si="99"/>
      </c>
      <c r="CV79" s="40">
        <f t="shared" si="100"/>
      </c>
      <c r="CW79" s="40">
        <f t="shared" si="101"/>
      </c>
      <c r="CX79" s="40">
        <f t="shared" si="88"/>
      </c>
      <c r="CY79" s="40">
        <f t="shared" si="89"/>
      </c>
      <c r="CZ79" s="40">
        <f t="shared" si="98"/>
      </c>
      <c r="DA79" s="40">
        <f t="shared" si="66"/>
      </c>
    </row>
    <row r="80" spans="1:105" ht="12.75">
      <c r="A80" s="61"/>
      <c r="B80" s="61"/>
      <c r="C80" s="61"/>
      <c r="D80" s="61"/>
      <c r="E80" s="61"/>
      <c r="F80" s="61"/>
      <c r="G80" s="61"/>
      <c r="H80" s="120"/>
      <c r="I80" s="61"/>
      <c r="J80" s="61"/>
      <c r="K80" s="61"/>
      <c r="L80" s="61"/>
      <c r="M80" s="61"/>
      <c r="N80" s="61"/>
      <c r="O80" s="61"/>
      <c r="P80" s="61"/>
      <c r="Q80" s="120"/>
      <c r="R80" s="120"/>
      <c r="S80" s="120"/>
      <c r="T80" s="120"/>
      <c r="U80" s="72">
        <f t="shared" si="90"/>
      </c>
      <c r="V80" s="72">
        <f t="shared" si="14"/>
      </c>
      <c r="W80" s="73">
        <f t="shared" si="15"/>
      </c>
      <c r="X80" s="72">
        <f t="shared" si="16"/>
      </c>
      <c r="Y80" s="72">
        <f t="shared" si="17"/>
      </c>
      <c r="Z80" s="72">
        <f t="shared" si="18"/>
      </c>
      <c r="AA80" s="72">
        <f t="shared" si="19"/>
      </c>
      <c r="AB80" s="72">
        <f t="shared" si="20"/>
      </c>
      <c r="AC80" s="72">
        <f t="shared" si="21"/>
      </c>
      <c r="AD80" s="74">
        <f t="shared" si="108"/>
      </c>
      <c r="AE80" s="73">
        <f t="shared" si="67"/>
      </c>
      <c r="AF80" s="40">
        <f t="shared" si="68"/>
      </c>
      <c r="AG80" s="40">
        <f t="shared" si="104"/>
      </c>
      <c r="AH80" s="40">
        <f t="shared" si="24"/>
      </c>
      <c r="AI80" s="260">
        <f t="shared" si="25"/>
      </c>
      <c r="AJ80" s="40">
        <f t="shared" si="106"/>
      </c>
      <c r="AK80" s="40">
        <f t="shared" si="107"/>
      </c>
      <c r="AL80" s="261">
        <f t="shared" si="26"/>
      </c>
      <c r="AM80" s="40">
        <f t="shared" si="113"/>
      </c>
      <c r="AN80" s="40">
        <f t="shared" si="114"/>
      </c>
      <c r="AO80" s="40">
        <f t="shared" si="29"/>
      </c>
      <c r="AP80" s="40">
        <f t="shared" si="115"/>
      </c>
      <c r="AQ80" s="40">
        <f t="shared" si="116"/>
      </c>
      <c r="AR80" s="40">
        <f t="shared" si="32"/>
      </c>
      <c r="AS80" s="40">
        <f t="shared" si="33"/>
      </c>
      <c r="AT80" s="40">
        <f t="shared" si="34"/>
      </c>
      <c r="AU80" s="40">
        <f t="shared" si="35"/>
      </c>
      <c r="AV80" s="73">
        <f t="shared" si="69"/>
      </c>
      <c r="AW80" s="73">
        <f t="shared" si="70"/>
      </c>
      <c r="AX80" s="73">
        <f t="shared" si="71"/>
      </c>
      <c r="AY80" s="73">
        <f t="shared" si="72"/>
      </c>
      <c r="AZ80" s="73">
        <f t="shared" si="73"/>
      </c>
      <c r="BA80" s="73">
        <f t="shared" si="74"/>
      </c>
      <c r="BB80" s="73">
        <f t="shared" si="75"/>
      </c>
      <c r="BC80" s="73">
        <f t="shared" si="76"/>
      </c>
      <c r="BD80" s="73">
        <f t="shared" si="77"/>
      </c>
      <c r="BE80" s="73">
        <f t="shared" si="36"/>
      </c>
      <c r="BF80" s="73">
        <f t="shared" si="37"/>
      </c>
      <c r="BG80" s="73">
        <f t="shared" si="38"/>
      </c>
      <c r="BH80" s="73">
        <f t="shared" si="39"/>
      </c>
      <c r="BI80" s="73">
        <f t="shared" si="102"/>
      </c>
      <c r="BJ80" s="73">
        <f t="shared" si="103"/>
      </c>
      <c r="BK80" s="40">
        <f t="shared" si="78"/>
      </c>
      <c r="BL80" s="40">
        <f>IF(B80="","",BK80-CC80+1.25*CC80)</f>
      </c>
      <c r="BM80" s="40">
        <f t="shared" si="80"/>
      </c>
      <c r="BN80" s="40">
        <f t="shared" si="40"/>
      </c>
      <c r="BO80" s="40">
        <f t="shared" si="109"/>
      </c>
      <c r="BP80" s="40">
        <f t="shared" si="117"/>
      </c>
      <c r="BQ80" s="40">
        <f t="shared" si="42"/>
      </c>
      <c r="BR80" s="40">
        <f t="shared" si="118"/>
      </c>
      <c r="BS80" s="40">
        <f t="shared" si="81"/>
      </c>
      <c r="BT80" s="40">
        <f t="shared" si="120"/>
      </c>
      <c r="BU80" s="40">
        <f t="shared" si="45"/>
      </c>
      <c r="BV80" s="75">
        <f t="shared" si="46"/>
      </c>
      <c r="BW80" s="75">
        <f t="shared" si="47"/>
      </c>
      <c r="BX80" s="40">
        <f t="shared" si="110"/>
      </c>
      <c r="BY80" s="40">
        <f t="shared" si="111"/>
      </c>
      <c r="BZ80" s="61"/>
      <c r="CA80" s="73">
        <f t="shared" si="49"/>
      </c>
      <c r="CB80" s="84"/>
      <c r="CC80" s="73">
        <f aca="true" t="shared" si="121" ref="CC80:CC88">IF(FINAL="","",SUMIF(FINAL,$H80,I_nom_A))</f>
      </c>
      <c r="CD80" s="73">
        <f t="shared" si="91"/>
      </c>
      <c r="CE80" s="73">
        <f t="shared" si="92"/>
      </c>
      <c r="CF80" s="73">
        <f t="shared" si="93"/>
      </c>
      <c r="CG80" s="73">
        <f t="shared" si="54"/>
      </c>
      <c r="CH80" s="73">
        <f t="shared" si="55"/>
      </c>
      <c r="CI80" s="73">
        <f t="shared" si="56"/>
      </c>
      <c r="CJ80" s="76">
        <f t="shared" si="57"/>
      </c>
      <c r="CK80" s="76">
        <f t="shared" si="82"/>
      </c>
      <c r="CL80" s="76">
        <f t="shared" si="83"/>
      </c>
      <c r="CM80" s="76">
        <f t="shared" si="84"/>
      </c>
      <c r="CN80" s="40">
        <f t="shared" si="112"/>
      </c>
      <c r="CO80" s="40">
        <f t="shared" si="94"/>
      </c>
      <c r="CP80" s="40">
        <f t="shared" si="95"/>
      </c>
      <c r="CQ80" s="40">
        <f t="shared" si="96"/>
      </c>
      <c r="CR80" s="40">
        <f t="shared" si="97"/>
      </c>
      <c r="CS80" s="40">
        <f t="shared" si="87"/>
      </c>
      <c r="CT80" s="40">
        <f t="shared" si="61"/>
      </c>
      <c r="CU80" s="40">
        <f t="shared" si="99"/>
      </c>
      <c r="CV80" s="40">
        <f t="shared" si="100"/>
      </c>
      <c r="CW80" s="40">
        <f t="shared" si="101"/>
      </c>
      <c r="CX80" s="40">
        <f t="shared" si="88"/>
      </c>
      <c r="CY80" s="40">
        <f t="shared" si="89"/>
      </c>
      <c r="CZ80" s="40">
        <f>IF($B80="","",I80*IF($I$14="Sí",IF(OR($D80="T",$D80="RST"),$W80*F80)+SUMIF(INICIO,$B80,IT_cosfi),0))</f>
      </c>
      <c r="DA80" s="40">
        <f t="shared" si="66"/>
      </c>
    </row>
    <row r="81" spans="1:105" ht="12.75">
      <c r="A81" s="61"/>
      <c r="B81" s="61"/>
      <c r="C81" s="61"/>
      <c r="D81" s="61"/>
      <c r="E81" s="61"/>
      <c r="F81" s="61"/>
      <c r="G81" s="61"/>
      <c r="H81" s="120"/>
      <c r="I81" s="61"/>
      <c r="J81" s="61"/>
      <c r="K81" s="61"/>
      <c r="L81" s="61"/>
      <c r="M81" s="61"/>
      <c r="N81" s="61"/>
      <c r="O81" s="61"/>
      <c r="P81" s="61"/>
      <c r="Q81" s="120"/>
      <c r="R81" s="120"/>
      <c r="S81" s="120"/>
      <c r="T81" s="120"/>
      <c r="U81" s="72">
        <f t="shared" si="90"/>
      </c>
      <c r="V81" s="72">
        <f t="shared" si="14"/>
      </c>
      <c r="W81" s="73">
        <f t="shared" si="15"/>
      </c>
      <c r="X81" s="72">
        <f t="shared" si="16"/>
      </c>
      <c r="Y81" s="72">
        <f t="shared" si="17"/>
      </c>
      <c r="Z81" s="72">
        <f t="shared" si="18"/>
      </c>
      <c r="AA81" s="72">
        <f t="shared" si="19"/>
      </c>
      <c r="AB81" s="72">
        <f t="shared" si="20"/>
      </c>
      <c r="AC81" s="72">
        <f t="shared" si="21"/>
      </c>
      <c r="AD81" s="74">
        <f t="shared" si="108"/>
      </c>
      <c r="AE81" s="73">
        <f t="shared" si="67"/>
      </c>
      <c r="AF81" s="40">
        <f t="shared" si="68"/>
      </c>
      <c r="AG81" s="40">
        <f t="shared" si="104"/>
      </c>
      <c r="AH81" s="40">
        <f t="shared" si="24"/>
      </c>
      <c r="AI81" s="260">
        <f t="shared" si="25"/>
      </c>
      <c r="AJ81" s="40">
        <f t="shared" si="106"/>
      </c>
      <c r="AK81" s="40">
        <f t="shared" si="107"/>
      </c>
      <c r="AL81" s="261">
        <f t="shared" si="26"/>
      </c>
      <c r="AM81" s="40">
        <f t="shared" si="113"/>
      </c>
      <c r="AN81" s="40">
        <f t="shared" si="114"/>
      </c>
      <c r="AO81" s="40">
        <f t="shared" si="29"/>
      </c>
      <c r="AP81" s="40">
        <f t="shared" si="115"/>
      </c>
      <c r="AQ81" s="40">
        <f t="shared" si="116"/>
      </c>
      <c r="AR81" s="40">
        <f t="shared" si="32"/>
      </c>
      <c r="AS81" s="40">
        <f t="shared" si="33"/>
      </c>
      <c r="AT81" s="40">
        <f t="shared" si="34"/>
      </c>
      <c r="AU81" s="40">
        <f t="shared" si="35"/>
      </c>
      <c r="AV81" s="73">
        <f t="shared" si="69"/>
      </c>
      <c r="AW81" s="73">
        <f t="shared" si="70"/>
      </c>
      <c r="AX81" s="73">
        <f t="shared" si="71"/>
      </c>
      <c r="AY81" s="73">
        <f t="shared" si="72"/>
      </c>
      <c r="AZ81" s="73">
        <f t="shared" si="73"/>
      </c>
      <c r="BA81" s="73">
        <f t="shared" si="74"/>
      </c>
      <c r="BB81" s="73">
        <f t="shared" si="75"/>
      </c>
      <c r="BC81" s="73">
        <f t="shared" si="76"/>
      </c>
      <c r="BD81" s="73">
        <f t="shared" si="77"/>
      </c>
      <c r="BE81" s="73">
        <f t="shared" si="36"/>
      </c>
      <c r="BF81" s="73">
        <f t="shared" si="37"/>
      </c>
      <c r="BG81" s="73">
        <f t="shared" si="38"/>
      </c>
      <c r="BH81" s="73">
        <f t="shared" si="39"/>
      </c>
      <c r="BI81" s="73">
        <f t="shared" si="102"/>
      </c>
      <c r="BJ81" s="73">
        <f t="shared" si="103"/>
      </c>
      <c r="BK81" s="40">
        <f t="shared" si="78"/>
      </c>
      <c r="BL81" s="40">
        <f t="shared" si="79"/>
      </c>
      <c r="BM81" s="40">
        <f t="shared" si="80"/>
      </c>
      <c r="BN81" s="40">
        <f t="shared" si="40"/>
      </c>
      <c r="BO81" s="40">
        <f t="shared" si="109"/>
      </c>
      <c r="BP81" s="40">
        <f t="shared" si="117"/>
      </c>
      <c r="BQ81" s="40">
        <f t="shared" si="42"/>
      </c>
      <c r="BR81" s="40">
        <f t="shared" si="118"/>
      </c>
      <c r="BS81" s="40">
        <f t="shared" si="81"/>
      </c>
      <c r="BT81" s="40">
        <f t="shared" si="120"/>
      </c>
      <c r="BU81" s="40">
        <f t="shared" si="45"/>
      </c>
      <c r="BV81" s="75">
        <f t="shared" si="46"/>
      </c>
      <c r="BW81" s="75">
        <f t="shared" si="47"/>
      </c>
      <c r="BX81" s="40">
        <f t="shared" si="110"/>
      </c>
      <c r="BY81" s="40">
        <f t="shared" si="111"/>
      </c>
      <c r="BZ81" s="61"/>
      <c r="CA81" s="73">
        <f t="shared" si="49"/>
      </c>
      <c r="CB81" s="84"/>
      <c r="CC81" s="73">
        <f t="shared" si="121"/>
      </c>
      <c r="CD81" s="73">
        <f t="shared" si="91"/>
      </c>
      <c r="CE81" s="73">
        <f t="shared" si="92"/>
      </c>
      <c r="CF81" s="73">
        <f t="shared" si="93"/>
      </c>
      <c r="CG81" s="73">
        <f t="shared" si="54"/>
      </c>
      <c r="CH81" s="73">
        <f t="shared" si="55"/>
      </c>
      <c r="CI81" s="73">
        <f t="shared" si="56"/>
      </c>
      <c r="CJ81" s="76">
        <f t="shared" si="57"/>
      </c>
      <c r="CK81" s="76">
        <f t="shared" si="82"/>
      </c>
      <c r="CL81" s="76">
        <f t="shared" si="83"/>
      </c>
      <c r="CM81" s="76">
        <f t="shared" si="84"/>
      </c>
      <c r="CN81" s="40">
        <f t="shared" si="112"/>
      </c>
      <c r="CO81" s="40">
        <f t="shared" si="94"/>
      </c>
      <c r="CP81" s="40">
        <f t="shared" si="95"/>
      </c>
      <c r="CQ81" s="40">
        <f t="shared" si="96"/>
      </c>
      <c r="CR81" s="40">
        <f t="shared" si="97"/>
      </c>
      <c r="CS81" s="40">
        <f t="shared" si="87"/>
      </c>
      <c r="CT81" s="40">
        <f t="shared" si="61"/>
      </c>
      <c r="CU81" s="40">
        <f t="shared" si="99"/>
      </c>
      <c r="CV81" s="40">
        <f t="shared" si="100"/>
      </c>
      <c r="CW81" s="40">
        <f t="shared" si="101"/>
      </c>
      <c r="CX81" s="40">
        <f t="shared" si="88"/>
      </c>
      <c r="CY81" s="40">
        <f t="shared" si="89"/>
      </c>
      <c r="CZ81" s="40">
        <f t="shared" si="98"/>
      </c>
      <c r="DA81" s="40">
        <f t="shared" si="66"/>
      </c>
    </row>
    <row r="82" spans="1:105" ht="12.75">
      <c r="A82" s="61"/>
      <c r="B82" s="61"/>
      <c r="C82" s="61"/>
      <c r="D82" s="61"/>
      <c r="E82" s="61"/>
      <c r="F82" s="61"/>
      <c r="G82" s="61"/>
      <c r="H82" s="120"/>
      <c r="I82" s="61"/>
      <c r="J82" s="61"/>
      <c r="K82" s="61"/>
      <c r="L82" s="61"/>
      <c r="M82" s="61"/>
      <c r="N82" s="61"/>
      <c r="O82" s="61"/>
      <c r="P82" s="61"/>
      <c r="Q82" s="120"/>
      <c r="R82" s="120"/>
      <c r="S82" s="120"/>
      <c r="T82" s="120"/>
      <c r="U82" s="72">
        <f t="shared" si="90"/>
      </c>
      <c r="V82" s="72">
        <f t="shared" si="14"/>
      </c>
      <c r="W82" s="73">
        <f t="shared" si="15"/>
      </c>
      <c r="X82" s="72">
        <f t="shared" si="16"/>
      </c>
      <c r="Y82" s="72">
        <f t="shared" si="17"/>
      </c>
      <c r="Z82" s="72">
        <f t="shared" si="18"/>
      </c>
      <c r="AA82" s="72">
        <f t="shared" si="19"/>
      </c>
      <c r="AB82" s="72">
        <f t="shared" si="20"/>
      </c>
      <c r="AC82" s="72">
        <f t="shared" si="21"/>
      </c>
      <c r="AD82" s="74">
        <f t="shared" si="108"/>
      </c>
      <c r="AE82" s="73">
        <f t="shared" si="67"/>
      </c>
      <c r="AF82" s="40">
        <f t="shared" si="68"/>
      </c>
      <c r="AG82" s="40">
        <f t="shared" si="104"/>
      </c>
      <c r="AH82" s="40">
        <f t="shared" si="24"/>
      </c>
      <c r="AI82" s="260">
        <f t="shared" si="25"/>
      </c>
      <c r="AJ82" s="40">
        <f t="shared" si="106"/>
      </c>
      <c r="AK82" s="40">
        <f t="shared" si="107"/>
      </c>
      <c r="AL82" s="261">
        <f t="shared" si="26"/>
      </c>
      <c r="AM82" s="40">
        <f t="shared" si="113"/>
      </c>
      <c r="AN82" s="40">
        <f t="shared" si="114"/>
      </c>
      <c r="AO82" s="40">
        <f t="shared" si="29"/>
      </c>
      <c r="AP82" s="40">
        <f t="shared" si="115"/>
      </c>
      <c r="AQ82" s="40">
        <f t="shared" si="116"/>
      </c>
      <c r="AR82" s="40">
        <f t="shared" si="32"/>
      </c>
      <c r="AS82" s="40">
        <f t="shared" si="33"/>
      </c>
      <c r="AT82" s="40">
        <f t="shared" si="34"/>
      </c>
      <c r="AU82" s="40">
        <f t="shared" si="35"/>
      </c>
      <c r="AV82" s="73">
        <f t="shared" si="69"/>
      </c>
      <c r="AW82" s="73">
        <f t="shared" si="70"/>
      </c>
      <c r="AX82" s="73">
        <f t="shared" si="71"/>
      </c>
      <c r="AY82" s="73">
        <f t="shared" si="72"/>
      </c>
      <c r="AZ82" s="73">
        <f t="shared" si="73"/>
      </c>
      <c r="BA82" s="73">
        <f t="shared" si="74"/>
      </c>
      <c r="BB82" s="73">
        <f t="shared" si="75"/>
      </c>
      <c r="BC82" s="73">
        <f t="shared" si="76"/>
      </c>
      <c r="BD82" s="73">
        <f t="shared" si="77"/>
      </c>
      <c r="BE82" s="73">
        <f t="shared" si="36"/>
      </c>
      <c r="BF82" s="73">
        <f t="shared" si="37"/>
      </c>
      <c r="BG82" s="73">
        <f t="shared" si="38"/>
      </c>
      <c r="BH82" s="73">
        <f t="shared" si="39"/>
      </c>
      <c r="BI82" s="73">
        <f t="shared" si="102"/>
      </c>
      <c r="BJ82" s="73">
        <f t="shared" si="103"/>
      </c>
      <c r="BK82" s="40">
        <f>IF(B82="","",I82*(W82+SUMIF(INICIO,$B82,I_tramo)))</f>
      </c>
      <c r="BL82" s="40">
        <f t="shared" si="79"/>
      </c>
      <c r="BM82" s="40">
        <f t="shared" si="80"/>
      </c>
      <c r="BN82" s="40">
        <f t="shared" si="40"/>
      </c>
      <c r="BO82" s="40">
        <f t="shared" si="109"/>
      </c>
      <c r="BP82" s="40">
        <f t="shared" si="117"/>
      </c>
      <c r="BQ82" s="40">
        <f t="shared" si="42"/>
      </c>
      <c r="BR82" s="40">
        <f t="shared" si="118"/>
      </c>
      <c r="BS82" s="40">
        <f t="shared" si="81"/>
      </c>
      <c r="BT82" s="40">
        <f t="shared" si="120"/>
      </c>
      <c r="BU82" s="40">
        <f t="shared" si="45"/>
      </c>
      <c r="BV82" s="75">
        <f t="shared" si="46"/>
      </c>
      <c r="BW82" s="75">
        <f t="shared" si="47"/>
      </c>
      <c r="BX82" s="40">
        <f t="shared" si="110"/>
      </c>
      <c r="BY82" s="40">
        <f t="shared" si="111"/>
      </c>
      <c r="BZ82" s="61"/>
      <c r="CA82" s="73">
        <f t="shared" si="49"/>
      </c>
      <c r="CB82" s="84"/>
      <c r="CC82" s="73">
        <f t="shared" si="121"/>
      </c>
      <c r="CD82" s="73">
        <f t="shared" si="91"/>
      </c>
      <c r="CE82" s="73">
        <f t="shared" si="92"/>
      </c>
      <c r="CF82" s="73">
        <f t="shared" si="93"/>
      </c>
      <c r="CG82" s="73">
        <f t="shared" si="54"/>
      </c>
      <c r="CH82" s="73">
        <f t="shared" si="55"/>
      </c>
      <c r="CI82" s="73">
        <f t="shared" si="56"/>
      </c>
      <c r="CJ82" s="76">
        <f t="shared" si="57"/>
      </c>
      <c r="CK82" s="76">
        <f t="shared" si="82"/>
      </c>
      <c r="CL82" s="76">
        <f t="shared" si="83"/>
      </c>
      <c r="CM82" s="76">
        <f t="shared" si="84"/>
      </c>
      <c r="CN82" s="40">
        <f t="shared" si="112"/>
      </c>
      <c r="CO82" s="40">
        <f t="shared" si="94"/>
      </c>
      <c r="CP82" s="40">
        <f t="shared" si="95"/>
      </c>
      <c r="CQ82" s="40">
        <f t="shared" si="96"/>
      </c>
      <c r="CR82" s="40">
        <f t="shared" si="97"/>
      </c>
      <c r="CS82" s="40">
        <f t="shared" si="87"/>
      </c>
      <c r="CT82" s="40">
        <f t="shared" si="61"/>
      </c>
      <c r="CU82" s="40">
        <f t="shared" si="99"/>
      </c>
      <c r="CV82" s="40">
        <f t="shared" si="100"/>
      </c>
      <c r="CW82" s="40">
        <f t="shared" si="101"/>
      </c>
      <c r="CX82" s="40">
        <f t="shared" si="88"/>
      </c>
      <c r="CY82" s="40">
        <f t="shared" si="89"/>
      </c>
      <c r="CZ82" s="40">
        <f t="shared" si="98"/>
      </c>
      <c r="DA82" s="40">
        <f t="shared" si="66"/>
      </c>
    </row>
    <row r="83" spans="1:105" ht="12.75">
      <c r="A83" s="54"/>
      <c r="B83" s="54"/>
      <c r="C83" s="54"/>
      <c r="D83" s="61"/>
      <c r="E83" s="54"/>
      <c r="F83" s="54"/>
      <c r="G83" s="61"/>
      <c r="H83" s="64"/>
      <c r="I83" s="54"/>
      <c r="J83" s="61"/>
      <c r="K83" s="61"/>
      <c r="L83" s="54"/>
      <c r="M83" s="61"/>
      <c r="N83" s="61"/>
      <c r="O83" s="61"/>
      <c r="P83" s="61"/>
      <c r="Q83" s="120"/>
      <c r="R83" s="120"/>
      <c r="S83" s="120"/>
      <c r="T83" s="120"/>
      <c r="U83" s="72">
        <f t="shared" si="90"/>
      </c>
      <c r="V83" s="72">
        <f t="shared" si="14"/>
      </c>
      <c r="W83" s="73">
        <f t="shared" si="15"/>
      </c>
      <c r="X83" s="72">
        <f t="shared" si="16"/>
      </c>
      <c r="Y83" s="72">
        <f t="shared" si="17"/>
      </c>
      <c r="Z83" s="72">
        <f t="shared" si="18"/>
      </c>
      <c r="AA83" s="72">
        <f t="shared" si="19"/>
      </c>
      <c r="AB83" s="72">
        <f t="shared" si="20"/>
      </c>
      <c r="AC83" s="72">
        <f t="shared" si="21"/>
      </c>
      <c r="AD83" s="74">
        <f t="shared" si="108"/>
      </c>
      <c r="AE83" s="73">
        <f t="shared" si="67"/>
      </c>
      <c r="AF83" s="40">
        <f t="shared" si="68"/>
      </c>
      <c r="AG83" s="40">
        <f t="shared" si="104"/>
      </c>
      <c r="AH83" s="40">
        <f t="shared" si="24"/>
      </c>
      <c r="AI83" s="260">
        <f t="shared" si="25"/>
      </c>
      <c r="AJ83" s="40">
        <f t="shared" si="106"/>
      </c>
      <c r="AK83" s="40">
        <f t="shared" si="107"/>
      </c>
      <c r="AL83" s="261">
        <f t="shared" si="26"/>
      </c>
      <c r="AM83" s="40">
        <f t="shared" si="113"/>
      </c>
      <c r="AN83" s="40">
        <f t="shared" si="114"/>
      </c>
      <c r="AO83" s="40">
        <f t="shared" si="29"/>
      </c>
      <c r="AP83" s="40">
        <f t="shared" si="115"/>
      </c>
      <c r="AQ83" s="40">
        <f t="shared" si="116"/>
      </c>
      <c r="AR83" s="40">
        <f t="shared" si="32"/>
      </c>
      <c r="AS83" s="40">
        <f t="shared" si="33"/>
      </c>
      <c r="AT83" s="40">
        <f t="shared" si="34"/>
      </c>
      <c r="AU83" s="40">
        <f t="shared" si="35"/>
      </c>
      <c r="AV83" s="73">
        <f t="shared" si="69"/>
      </c>
      <c r="AW83" s="73">
        <f t="shared" si="70"/>
      </c>
      <c r="AX83" s="73">
        <f t="shared" si="71"/>
      </c>
      <c r="AY83" s="73">
        <f t="shared" si="72"/>
      </c>
      <c r="AZ83" s="73">
        <f t="shared" si="73"/>
      </c>
      <c r="BA83" s="73">
        <f t="shared" si="74"/>
      </c>
      <c r="BB83" s="73">
        <f t="shared" si="75"/>
      </c>
      <c r="BC83" s="73">
        <f t="shared" si="76"/>
      </c>
      <c r="BD83" s="73">
        <f t="shared" si="77"/>
      </c>
      <c r="BE83" s="73">
        <f t="shared" si="36"/>
      </c>
      <c r="BF83" s="73">
        <f t="shared" si="37"/>
      </c>
      <c r="BG83" s="73">
        <f t="shared" si="38"/>
      </c>
      <c r="BH83" s="73">
        <f t="shared" si="39"/>
      </c>
      <c r="BI83" s="73">
        <f t="shared" si="102"/>
      </c>
      <c r="BJ83" s="73">
        <f t="shared" si="103"/>
      </c>
      <c r="BK83" s="40">
        <f t="shared" si="78"/>
      </c>
      <c r="BL83" s="40">
        <f t="shared" si="79"/>
      </c>
      <c r="BM83" s="40">
        <f t="shared" si="80"/>
      </c>
      <c r="BN83" s="40">
        <f t="shared" si="40"/>
      </c>
      <c r="BO83" s="40">
        <f t="shared" si="109"/>
      </c>
      <c r="BP83" s="40">
        <f t="shared" si="117"/>
      </c>
      <c r="BQ83" s="40">
        <f t="shared" si="42"/>
      </c>
      <c r="BR83" s="40">
        <f t="shared" si="118"/>
      </c>
      <c r="BS83" s="40">
        <f t="shared" si="81"/>
      </c>
      <c r="BT83" s="40">
        <f t="shared" si="120"/>
      </c>
      <c r="BU83" s="40">
        <f t="shared" si="45"/>
      </c>
      <c r="BV83" s="75">
        <f t="shared" si="46"/>
      </c>
      <c r="BW83" s="75">
        <f t="shared" si="47"/>
      </c>
      <c r="BX83" s="40">
        <f t="shared" si="110"/>
      </c>
      <c r="BY83" s="40">
        <f t="shared" si="111"/>
      </c>
      <c r="BZ83" s="61"/>
      <c r="CA83" s="73">
        <f t="shared" si="49"/>
      </c>
      <c r="CB83" s="84"/>
      <c r="CC83" s="73">
        <f t="shared" si="121"/>
      </c>
      <c r="CD83" s="73">
        <f t="shared" si="91"/>
      </c>
      <c r="CE83" s="73">
        <f t="shared" si="92"/>
      </c>
      <c r="CF83" s="73">
        <f t="shared" si="93"/>
      </c>
      <c r="CG83" s="73">
        <f t="shared" si="54"/>
      </c>
      <c r="CH83" s="73">
        <f t="shared" si="55"/>
      </c>
      <c r="CI83" s="73">
        <f t="shared" si="56"/>
      </c>
      <c r="CJ83" s="76">
        <f t="shared" si="57"/>
      </c>
      <c r="CK83" s="76">
        <f t="shared" si="82"/>
      </c>
      <c r="CL83" s="76">
        <f t="shared" si="83"/>
      </c>
      <c r="CM83" s="76">
        <f t="shared" si="84"/>
      </c>
      <c r="CN83" s="40">
        <f t="shared" si="112"/>
      </c>
      <c r="CO83" s="40">
        <f t="shared" si="94"/>
      </c>
      <c r="CP83" s="40">
        <f t="shared" si="95"/>
      </c>
      <c r="CQ83" s="40">
        <f t="shared" si="96"/>
      </c>
      <c r="CR83" s="40">
        <f t="shared" si="97"/>
      </c>
      <c r="CS83" s="40">
        <f t="shared" si="87"/>
      </c>
      <c r="CT83" s="40">
        <f t="shared" si="61"/>
      </c>
      <c r="CU83" s="40">
        <f t="shared" si="99"/>
      </c>
      <c r="CV83" s="40">
        <f t="shared" si="100"/>
      </c>
      <c r="CW83" s="40">
        <f t="shared" si="101"/>
      </c>
      <c r="CX83" s="40">
        <f t="shared" si="88"/>
      </c>
      <c r="CY83" s="40">
        <f t="shared" si="89"/>
      </c>
      <c r="CZ83" s="40">
        <f t="shared" si="98"/>
      </c>
      <c r="DA83" s="40">
        <f t="shared" si="66"/>
      </c>
    </row>
    <row r="84" spans="1:105" ht="12.75">
      <c r="A84" s="54"/>
      <c r="B84" s="54"/>
      <c r="C84" s="54"/>
      <c r="D84" s="61"/>
      <c r="E84" s="54"/>
      <c r="F84" s="54"/>
      <c r="G84" s="61"/>
      <c r="H84" s="64"/>
      <c r="I84" s="54"/>
      <c r="J84" s="61"/>
      <c r="K84" s="61"/>
      <c r="L84" s="54"/>
      <c r="M84" s="61"/>
      <c r="N84" s="61"/>
      <c r="O84" s="61"/>
      <c r="P84" s="61"/>
      <c r="Q84" s="120"/>
      <c r="R84" s="120"/>
      <c r="S84" s="120"/>
      <c r="T84" s="120"/>
      <c r="U84" s="72">
        <f t="shared" si="90"/>
      </c>
      <c r="V84" s="72">
        <f t="shared" si="14"/>
      </c>
      <c r="W84" s="73">
        <f t="shared" si="15"/>
      </c>
      <c r="X84" s="72">
        <f t="shared" si="16"/>
      </c>
      <c r="Y84" s="72">
        <f t="shared" si="17"/>
      </c>
      <c r="Z84" s="72">
        <f t="shared" si="18"/>
      </c>
      <c r="AA84" s="72">
        <f t="shared" si="19"/>
      </c>
      <c r="AB84" s="72">
        <f t="shared" si="20"/>
      </c>
      <c r="AC84" s="72">
        <f t="shared" si="21"/>
      </c>
      <c r="AD84" s="74">
        <f t="shared" si="108"/>
      </c>
      <c r="AE84" s="73">
        <f t="shared" si="67"/>
      </c>
      <c r="AF84" s="40">
        <f t="shared" si="68"/>
      </c>
      <c r="AG84" s="40">
        <f t="shared" si="104"/>
      </c>
      <c r="AH84" s="40">
        <f t="shared" si="24"/>
      </c>
      <c r="AI84" s="260">
        <f t="shared" si="25"/>
      </c>
      <c r="AJ84" s="40">
        <f aca="true" t="shared" si="122" ref="AJ84:AJ100">IF($B84="","",I84*IF($G$14="Sí",IF(OR($D84="R",$D84="RST"),IF($D$2="Sí",IF($G84="Motor",$D$6*$W84/(BB84^2),$W84/$D$6)*($AV84*$F84+$AW84*SIN(ACOS($F84))),$W84*$F84))+SUMIF(INICIO,$B84,R_RE),0))</f>
      </c>
      <c r="AK84" s="40">
        <f aca="true" t="shared" si="123" ref="AK84:AK100">IF(B84="","",I84*IF($G$14="Sí",IF(OR($D84="R",$D84="RST"),IF($D$2="Sí",IF($G84="Motor",$D$6*$W84/(BB84^2),$W84/$D$6)*($AW84*$F84-$AV84*SIN(ACOS($F84))),-$W84*SIN(ACOS($F84))))+SUMIF(INICIO,$B84,R_IM),0))</f>
      </c>
      <c r="AL84" s="261">
        <f t="shared" si="26"/>
      </c>
      <c r="AM84" s="40">
        <f t="shared" si="113"/>
      </c>
      <c r="AN84" s="40">
        <f t="shared" si="114"/>
      </c>
      <c r="AO84" s="40">
        <f t="shared" si="29"/>
      </c>
      <c r="AP84" s="40">
        <f t="shared" si="115"/>
      </c>
      <c r="AQ84" s="40">
        <f t="shared" si="116"/>
      </c>
      <c r="AR84" s="40">
        <f t="shared" si="32"/>
      </c>
      <c r="AS84" s="40">
        <f t="shared" si="33"/>
      </c>
      <c r="AT84" s="40">
        <f t="shared" si="34"/>
      </c>
      <c r="AU84" s="40">
        <f t="shared" si="35"/>
      </c>
      <c r="AV84" s="73">
        <f t="shared" si="69"/>
      </c>
      <c r="AW84" s="73">
        <f t="shared" si="70"/>
      </c>
      <c r="AX84" s="73">
        <f t="shared" si="71"/>
      </c>
      <c r="AY84" s="73">
        <f t="shared" si="72"/>
      </c>
      <c r="AZ84" s="73">
        <f t="shared" si="73"/>
      </c>
      <c r="BA84" s="73">
        <f t="shared" si="74"/>
      </c>
      <c r="BB84" s="73">
        <f t="shared" si="75"/>
      </c>
      <c r="BC84" s="73">
        <f t="shared" si="76"/>
      </c>
      <c r="BD84" s="73">
        <f t="shared" si="77"/>
      </c>
      <c r="BE84" s="73">
        <f t="shared" si="36"/>
      </c>
      <c r="BF84" s="73">
        <f t="shared" si="37"/>
      </c>
      <c r="BG84" s="73">
        <f t="shared" si="38"/>
      </c>
      <c r="BH84" s="73">
        <f t="shared" si="39"/>
      </c>
      <c r="BI84" s="73">
        <f t="shared" si="102"/>
      </c>
      <c r="BJ84" s="73">
        <f t="shared" si="103"/>
      </c>
      <c r="BK84" s="40">
        <f t="shared" si="78"/>
      </c>
      <c r="BL84" s="40">
        <f t="shared" si="79"/>
      </c>
      <c r="BM84" s="40">
        <f t="shared" si="80"/>
      </c>
      <c r="BN84" s="40">
        <f t="shared" si="40"/>
      </c>
      <c r="BO84" s="40">
        <f t="shared" si="109"/>
      </c>
      <c r="BP84" s="40">
        <f t="shared" si="117"/>
      </c>
      <c r="BQ84" s="40">
        <f t="shared" si="42"/>
      </c>
      <c r="BR84" s="40">
        <f t="shared" si="118"/>
      </c>
      <c r="BS84" s="40">
        <f t="shared" si="81"/>
      </c>
      <c r="BT84" s="40">
        <f t="shared" si="120"/>
      </c>
      <c r="BU84" s="40">
        <f t="shared" si="45"/>
      </c>
      <c r="BV84" s="75">
        <f t="shared" si="46"/>
      </c>
      <c r="BW84" s="75">
        <f t="shared" si="47"/>
      </c>
      <c r="BX84" s="40">
        <f t="shared" si="110"/>
      </c>
      <c r="BY84" s="40">
        <f t="shared" si="111"/>
      </c>
      <c r="BZ84" s="61"/>
      <c r="CA84" s="73">
        <f t="shared" si="49"/>
      </c>
      <c r="CB84" s="84"/>
      <c r="CC84" s="73">
        <f t="shared" si="121"/>
      </c>
      <c r="CD84" s="73">
        <f t="shared" si="91"/>
      </c>
      <c r="CE84" s="73">
        <f t="shared" si="92"/>
      </c>
      <c r="CF84" s="73">
        <f t="shared" si="93"/>
      </c>
      <c r="CG84" s="73">
        <f t="shared" si="54"/>
      </c>
      <c r="CH84" s="73">
        <f t="shared" si="55"/>
      </c>
      <c r="CI84" s="73">
        <f t="shared" si="56"/>
      </c>
      <c r="CJ84" s="76">
        <f t="shared" si="57"/>
      </c>
      <c r="CK84" s="76">
        <f t="shared" si="82"/>
      </c>
      <c r="CL84" s="76">
        <f t="shared" si="83"/>
      </c>
      <c r="CM84" s="76">
        <f t="shared" si="84"/>
      </c>
      <c r="CN84" s="40">
        <f t="shared" si="112"/>
      </c>
      <c r="CO84" s="40">
        <f t="shared" si="94"/>
      </c>
      <c r="CP84" s="40">
        <f t="shared" si="95"/>
      </c>
      <c r="CQ84" s="40">
        <f t="shared" si="96"/>
      </c>
      <c r="CR84" s="40">
        <f t="shared" si="97"/>
      </c>
      <c r="CS84" s="40">
        <f t="shared" si="87"/>
      </c>
      <c r="CT84" s="40">
        <f t="shared" si="61"/>
      </c>
      <c r="CU84" s="40">
        <f t="shared" si="99"/>
      </c>
      <c r="CV84" s="40">
        <f t="shared" si="100"/>
      </c>
      <c r="CW84" s="40">
        <f t="shared" si="101"/>
      </c>
      <c r="CX84" s="40">
        <f t="shared" si="88"/>
      </c>
      <c r="CY84" s="40">
        <f t="shared" si="89"/>
      </c>
      <c r="CZ84" s="40">
        <f t="shared" si="98"/>
      </c>
      <c r="DA84" s="40">
        <f t="shared" si="66"/>
      </c>
    </row>
    <row r="85" spans="1:105" ht="12.75">
      <c r="A85" s="54"/>
      <c r="B85" s="54"/>
      <c r="C85" s="54"/>
      <c r="D85" s="61"/>
      <c r="E85" s="54"/>
      <c r="F85" s="54"/>
      <c r="G85" s="61"/>
      <c r="H85" s="64"/>
      <c r="I85" s="54"/>
      <c r="J85" s="61"/>
      <c r="K85" s="61"/>
      <c r="L85" s="54"/>
      <c r="M85" s="61"/>
      <c r="N85" s="61"/>
      <c r="O85" s="61"/>
      <c r="P85" s="61"/>
      <c r="Q85" s="120"/>
      <c r="R85" s="120"/>
      <c r="S85" s="120"/>
      <c r="T85" s="120"/>
      <c r="U85" s="72">
        <f aca="true" t="shared" si="124" ref="U85:U100">IF(A85="","",1.02*C85/K85*SUMIF(Tipo_cable,J85,Resis_20_C))</f>
      </c>
      <c r="V85" s="72">
        <f aca="true" t="shared" si="125" ref="V85:V100">IF(A85="","",IF($D$9="Sí",0,IF(N85="","",1.02*C85/N85*SUMIF(Tipo_cable,M85,Resis_20_C))))</f>
      </c>
      <c r="W85" s="73">
        <f aca="true" t="shared" si="126" ref="W85:W100">IF(A85="","",IF(D85="",0,IF(D85="RST",IF(G85="Alum. des.",1.8*E85/SQRT(3)/$D$5,E85/SQRT(3)/$D$5/F85),IF(G85="Alum. des.",1.8*E85/$D$6,E85/$D$6/F85))))</f>
      </c>
      <c r="X85" s="72">
        <f aca="true" t="shared" si="127" ref="X85:X100">IF(A85="","",IF($D$3="Sí",U85*(1+SUMIF(Tipo_cable,J85,alfa)*(IF(S85="",SUMIF(Tipo_cable,J85,Tem_amb),S85)*(1-(AL85/AD85)^2)+(AL85/AD85)^2*SUMIF(Tipo_cable,J85,Tem_máx)-20)),U85))</f>
      </c>
      <c r="Y85" s="72">
        <f aca="true" t="shared" si="128" ref="Y85:Y100">IF(A85="","",IF($D$3="Sí",U85*(1+SUMIF(Tipo_cable,J85,alfa)*(IF(S85="",SUMIF(Tipo_cable,J85,Tem_amb),S85)*(1-(AO85/AD85)^2)+(AO85/AD85)^2*SUMIF(Tipo_cable,J85,Tem_máx)-20)),U85))</f>
      </c>
      <c r="Z85" s="72">
        <f aca="true" t="shared" si="129" ref="Z85:Z100">IF(A85="","",IF($D$3="Sí",U85*(1+SUMIF(Tipo_cable,J85,alfa)*(IF(S85="",SUMIF(Tipo_cable,J85,Tem_amb),S85)*(1-(AR85/AD85)^2)+(AR85/AD85)^2*SUMIF(Tipo_cable,J85,Tem_máx)-20)),U85))</f>
      </c>
      <c r="AA85" s="72">
        <f aca="true" t="shared" si="130" ref="AA85:AA100">IF(A85="","",IF($D$3="Sí",V85*(1+SUMIF(Tipo_cable,M85,alfa)*(IF(S85="",SUMIF(Tipo_cable,M85,Tem_amb),S85)*(1-(AU85/AD85)^2)+(AU85/AD85)^2*SUMIF(Tipo_cable,M85,Tem_máx)-20)),V85))</f>
      </c>
      <c r="AB85" s="72">
        <f aca="true" t="shared" si="131" ref="AB85:AB100">IF(A85="","",IF($D$4="Sí",0,IF(Q85="",IF(P85="","",IF(OR(P85="Unipolar/Cu",P85="Unipolar/Al"),U85*SUMIF(Sección,K85,React_unipo),U85*SUMIF(Sección,K85,React_tripo))),Q85*C85)))</f>
      </c>
      <c r="AC85" s="72">
        <f aca="true" t="shared" si="132" ref="AC85:AC100">IF(A85="","",IF($D$4="Sí",0,IF(R85="",IF(P85="","",$D$8/100*IF(OR(P85="Unipolar/Al",P85="Unipolar/Cu"),V85*SUMIF(Sección,N85,React_unipo),V85*SUMIF(Sección,N85,React_tripo))),R85*C85)))</f>
      </c>
      <c r="AD85" s="74">
        <f t="shared" si="108"/>
      </c>
      <c r="AE85" s="73">
        <f t="shared" si="67"/>
      </c>
      <c r="AF85" s="40">
        <f t="shared" si="68"/>
      </c>
      <c r="AG85" s="40">
        <f t="shared" si="104"/>
      </c>
      <c r="AH85" s="40">
        <f t="shared" si="24"/>
      </c>
      <c r="AI85" s="260">
        <f t="shared" si="25"/>
      </c>
      <c r="AJ85" s="40">
        <f t="shared" si="122"/>
      </c>
      <c r="AK85" s="40">
        <f t="shared" si="123"/>
      </c>
      <c r="AL85" s="261">
        <f t="shared" si="26"/>
      </c>
      <c r="AM85" s="40">
        <f t="shared" si="113"/>
      </c>
      <c r="AN85" s="40">
        <f t="shared" si="114"/>
      </c>
      <c r="AO85" s="40">
        <f t="shared" si="29"/>
      </c>
      <c r="AP85" s="40">
        <f t="shared" si="115"/>
      </c>
      <c r="AQ85" s="40">
        <f t="shared" si="116"/>
      </c>
      <c r="AR85" s="40">
        <f t="shared" si="32"/>
      </c>
      <c r="AS85" s="40">
        <f t="shared" si="33"/>
      </c>
      <c r="AT85" s="40">
        <f t="shared" si="34"/>
      </c>
      <c r="AU85" s="40">
        <f t="shared" si="35"/>
      </c>
      <c r="AV85" s="73">
        <f t="shared" si="69"/>
      </c>
      <c r="AW85" s="73">
        <f t="shared" si="70"/>
      </c>
      <c r="AX85" s="73">
        <f t="shared" si="71"/>
      </c>
      <c r="AY85" s="73">
        <f t="shared" si="72"/>
      </c>
      <c r="AZ85" s="73">
        <f t="shared" si="73"/>
      </c>
      <c r="BA85" s="73">
        <f t="shared" si="74"/>
      </c>
      <c r="BB85" s="73">
        <f t="shared" si="75"/>
      </c>
      <c r="BC85" s="73">
        <f t="shared" si="76"/>
      </c>
      <c r="BD85" s="73">
        <f t="shared" si="77"/>
      </c>
      <c r="BE85" s="73">
        <f t="shared" si="36"/>
      </c>
      <c r="BF85" s="73">
        <f t="shared" si="37"/>
      </c>
      <c r="BG85" s="73">
        <f t="shared" si="38"/>
      </c>
      <c r="BH85" s="73">
        <f aca="true" t="shared" si="133" ref="BH85:BH100">IF(B85="","",100*($D$6-BB85)/$D$6)</f>
      </c>
      <c r="BI85" s="73">
        <f t="shared" si="102"/>
      </c>
      <c r="BJ85" s="73">
        <f t="shared" si="103"/>
      </c>
      <c r="BK85" s="40">
        <f t="shared" si="78"/>
      </c>
      <c r="BL85" s="40">
        <f t="shared" si="79"/>
      </c>
      <c r="BM85" s="40">
        <f t="shared" si="80"/>
      </c>
      <c r="BN85" s="40">
        <f t="shared" si="40"/>
      </c>
      <c r="BO85" s="40">
        <f t="shared" si="109"/>
      </c>
      <c r="BP85" s="40">
        <f t="shared" si="117"/>
      </c>
      <c r="BQ85" s="40">
        <f t="shared" si="42"/>
      </c>
      <c r="BR85" s="40">
        <f t="shared" si="118"/>
      </c>
      <c r="BS85" s="40">
        <f t="shared" si="81"/>
      </c>
      <c r="BT85" s="40">
        <f t="shared" si="120"/>
      </c>
      <c r="BU85" s="40">
        <f t="shared" si="45"/>
      </c>
      <c r="BV85" s="75">
        <f t="shared" si="46"/>
      </c>
      <c r="BW85" s="75">
        <f t="shared" si="47"/>
      </c>
      <c r="BX85" s="40">
        <f t="shared" si="110"/>
      </c>
      <c r="BY85" s="40">
        <f t="shared" si="111"/>
      </c>
      <c r="BZ85" s="61"/>
      <c r="CA85" s="73">
        <f aca="true" t="shared" si="134" ref="CA85:CA100">IF(B85="","",(SUMIF(Tipo_cable,J85,Constante_k)*K85/(BX85*1000))^2)</f>
      </c>
      <c r="CB85" s="84"/>
      <c r="CC85" s="73">
        <f t="shared" si="121"/>
      </c>
      <c r="CD85" s="73">
        <f t="shared" si="91"/>
      </c>
      <c r="CE85" s="73">
        <f t="shared" si="92"/>
      </c>
      <c r="CF85" s="73">
        <f t="shared" si="93"/>
      </c>
      <c r="CG85" s="73">
        <f aca="true" t="shared" si="135" ref="CG85:CG100">IF(FINAL="","",SUMIF(FINAL,$H85,I_nom_A)*SUMIF(FINAL,$H85,FASE_R))</f>
      </c>
      <c r="CH85" s="73">
        <f aca="true" t="shared" si="136" ref="CH85:CH100">IF(FINAL="","",SUMIF(FINAL,$H85,I_nom_A)*SUMIF(FINAL,$H85,FASE_S))</f>
      </c>
      <c r="CI85" s="73">
        <f aca="true" t="shared" si="137" ref="CI85:CI100">IF(FINAL="","",SUMIF(FINAL,$H85,I_nom_A)*SUMIF(FINAL,$H85,FASE_T))</f>
      </c>
      <c r="CJ85" s="76">
        <f t="shared" si="57"/>
      </c>
      <c r="CK85" s="76">
        <f t="shared" si="82"/>
      </c>
      <c r="CL85" s="76">
        <f t="shared" si="83"/>
      </c>
      <c r="CM85" s="76">
        <f t="shared" si="84"/>
      </c>
      <c r="CN85" s="40">
        <f t="shared" si="112"/>
      </c>
      <c r="CO85" s="40">
        <f t="shared" si="94"/>
      </c>
      <c r="CP85" s="40">
        <f t="shared" si="95"/>
      </c>
      <c r="CQ85" s="40">
        <f t="shared" si="96"/>
      </c>
      <c r="CR85" s="40">
        <f t="shared" si="97"/>
      </c>
      <c r="CS85" s="40">
        <f t="shared" si="87"/>
      </c>
      <c r="CT85" s="40">
        <f t="shared" si="61"/>
      </c>
      <c r="CU85" s="40">
        <f t="shared" si="99"/>
      </c>
      <c r="CV85" s="40">
        <f t="shared" si="100"/>
      </c>
      <c r="CW85" s="40">
        <f t="shared" si="101"/>
      </c>
      <c r="CX85" s="40">
        <f t="shared" si="88"/>
      </c>
      <c r="CY85" s="40">
        <f t="shared" si="89"/>
      </c>
      <c r="CZ85" s="40">
        <f t="shared" si="98"/>
      </c>
      <c r="DA85" s="40">
        <f aca="true" t="shared" si="138" ref="DA85:DA100">IF($X85="","",X85*AL85^2+Y85*AO85^2+Z85*AR85^2)</f>
      </c>
    </row>
    <row r="86" spans="1:105" ht="12.75">
      <c r="A86" s="54"/>
      <c r="B86" s="54"/>
      <c r="C86" s="54"/>
      <c r="D86" s="61"/>
      <c r="E86" s="54"/>
      <c r="F86" s="54"/>
      <c r="G86" s="61"/>
      <c r="H86" s="64"/>
      <c r="I86" s="54"/>
      <c r="J86" s="61"/>
      <c r="K86" s="61"/>
      <c r="L86" s="54"/>
      <c r="M86" s="61"/>
      <c r="N86" s="61"/>
      <c r="O86" s="61"/>
      <c r="P86" s="61"/>
      <c r="Q86" s="120"/>
      <c r="R86" s="120"/>
      <c r="S86" s="120"/>
      <c r="T86" s="120"/>
      <c r="U86" s="72">
        <f t="shared" si="124"/>
      </c>
      <c r="V86" s="72">
        <f t="shared" si="125"/>
      </c>
      <c r="W86" s="73">
        <f t="shared" si="126"/>
      </c>
      <c r="X86" s="72">
        <f t="shared" si="127"/>
      </c>
      <c r="Y86" s="72">
        <f t="shared" si="128"/>
      </c>
      <c r="Z86" s="72">
        <f t="shared" si="129"/>
      </c>
      <c r="AA86" s="72">
        <f t="shared" si="130"/>
      </c>
      <c r="AB86" s="72">
        <f t="shared" si="131"/>
      </c>
      <c r="AC86" s="72">
        <f t="shared" si="132"/>
      </c>
      <c r="AD86" s="74">
        <f t="shared" si="108"/>
      </c>
      <c r="AE86" s="73">
        <f t="shared" si="67"/>
      </c>
      <c r="AF86" s="40">
        <f t="shared" si="68"/>
      </c>
      <c r="AG86" s="40">
        <f t="shared" si="104"/>
      </c>
      <c r="AH86" s="40">
        <f t="shared" si="24"/>
      </c>
      <c r="AI86" s="260">
        <f t="shared" si="25"/>
      </c>
      <c r="AJ86" s="40">
        <f t="shared" si="122"/>
      </c>
      <c r="AK86" s="40">
        <f t="shared" si="123"/>
      </c>
      <c r="AL86" s="261">
        <f t="shared" si="26"/>
      </c>
      <c r="AM86" s="40">
        <f t="shared" si="113"/>
      </c>
      <c r="AN86" s="40">
        <f t="shared" si="114"/>
      </c>
      <c r="AO86" s="40">
        <f t="shared" si="29"/>
      </c>
      <c r="AP86" s="40">
        <f t="shared" si="115"/>
      </c>
      <c r="AQ86" s="40">
        <f t="shared" si="116"/>
      </c>
      <c r="AR86" s="40">
        <f t="shared" si="32"/>
      </c>
      <c r="AS86" s="40">
        <f t="shared" si="33"/>
      </c>
      <c r="AT86" s="40">
        <f t="shared" si="34"/>
      </c>
      <c r="AU86" s="40">
        <f t="shared" si="35"/>
      </c>
      <c r="AV86" s="73">
        <f t="shared" si="69"/>
      </c>
      <c r="AW86" s="73">
        <f t="shared" si="70"/>
      </c>
      <c r="AX86" s="73">
        <f t="shared" si="71"/>
      </c>
      <c r="AY86" s="73">
        <f t="shared" si="72"/>
      </c>
      <c r="AZ86" s="73">
        <f t="shared" si="73"/>
      </c>
      <c r="BA86" s="73">
        <f t="shared" si="74"/>
      </c>
      <c r="BB86" s="73">
        <f t="shared" si="75"/>
      </c>
      <c r="BC86" s="73">
        <f t="shared" si="76"/>
      </c>
      <c r="BD86" s="73">
        <f t="shared" si="77"/>
      </c>
      <c r="BE86" s="73">
        <f t="shared" si="36"/>
      </c>
      <c r="BF86" s="73">
        <f t="shared" si="37"/>
      </c>
      <c r="BG86" s="73">
        <f t="shared" si="38"/>
      </c>
      <c r="BH86" s="73">
        <f t="shared" si="133"/>
      </c>
      <c r="BI86" s="73">
        <f t="shared" si="102"/>
      </c>
      <c r="BJ86" s="73">
        <f t="shared" si="103"/>
      </c>
      <c r="BK86" s="40">
        <f t="shared" si="78"/>
      </c>
      <c r="BL86" s="40">
        <f t="shared" si="79"/>
      </c>
      <c r="BM86" s="40">
        <f t="shared" si="80"/>
      </c>
      <c r="BN86" s="40">
        <f t="shared" si="40"/>
      </c>
      <c r="BO86" s="40">
        <f t="shared" si="109"/>
      </c>
      <c r="BP86" s="40">
        <f t="shared" si="117"/>
      </c>
      <c r="BQ86" s="40">
        <f t="shared" si="42"/>
      </c>
      <c r="BR86" s="40">
        <f t="shared" si="118"/>
      </c>
      <c r="BS86" s="40">
        <f t="shared" si="81"/>
      </c>
      <c r="BT86" s="40">
        <f t="shared" si="120"/>
      </c>
      <c r="BU86" s="40">
        <f t="shared" si="45"/>
      </c>
      <c r="BV86" s="75">
        <f t="shared" si="46"/>
      </c>
      <c r="BW86" s="75">
        <f t="shared" si="47"/>
      </c>
      <c r="BX86" s="40">
        <f t="shared" si="110"/>
      </c>
      <c r="BY86" s="40">
        <f t="shared" si="111"/>
      </c>
      <c r="BZ86" s="61"/>
      <c r="CA86" s="73">
        <f t="shared" si="134"/>
      </c>
      <c r="CB86" s="84"/>
      <c r="CC86" s="73">
        <f t="shared" si="121"/>
      </c>
      <c r="CD86" s="73">
        <f t="shared" si="91"/>
      </c>
      <c r="CE86" s="73">
        <f t="shared" si="92"/>
      </c>
      <c r="CF86" s="73">
        <f t="shared" si="93"/>
      </c>
      <c r="CG86" s="73">
        <f t="shared" si="135"/>
      </c>
      <c r="CH86" s="73">
        <f t="shared" si="136"/>
      </c>
      <c r="CI86" s="73">
        <f t="shared" si="137"/>
      </c>
      <c r="CJ86" s="76">
        <f t="shared" si="57"/>
      </c>
      <c r="CK86" s="76">
        <f t="shared" si="82"/>
      </c>
      <c r="CL86" s="76">
        <f t="shared" si="83"/>
      </c>
      <c r="CM86" s="76">
        <f t="shared" si="84"/>
      </c>
      <c r="CN86" s="40">
        <f t="shared" si="112"/>
      </c>
      <c r="CO86" s="40">
        <f t="shared" si="94"/>
      </c>
      <c r="CP86" s="40">
        <f t="shared" si="95"/>
      </c>
      <c r="CQ86" s="40">
        <f t="shared" si="96"/>
      </c>
      <c r="CR86" s="40">
        <f t="shared" si="97"/>
      </c>
      <c r="CS86" s="40">
        <f t="shared" si="87"/>
      </c>
      <c r="CT86" s="40">
        <f t="shared" si="61"/>
      </c>
      <c r="CU86" s="40">
        <f t="shared" si="99"/>
      </c>
      <c r="CV86" s="40">
        <f t="shared" si="100"/>
      </c>
      <c r="CW86" s="40">
        <f t="shared" si="101"/>
      </c>
      <c r="CX86" s="40">
        <f t="shared" si="88"/>
      </c>
      <c r="CY86" s="40">
        <f t="shared" si="89"/>
      </c>
      <c r="CZ86" s="40">
        <f t="shared" si="98"/>
      </c>
      <c r="DA86" s="40">
        <f t="shared" si="138"/>
      </c>
    </row>
    <row r="87" spans="1:105" ht="12.75">
      <c r="A87" s="54"/>
      <c r="B87" s="54"/>
      <c r="C87" s="54"/>
      <c r="D87" s="61"/>
      <c r="E87" s="54"/>
      <c r="F87" s="54"/>
      <c r="G87" s="61"/>
      <c r="H87" s="64"/>
      <c r="I87" s="54"/>
      <c r="J87" s="61"/>
      <c r="K87" s="61"/>
      <c r="L87" s="54"/>
      <c r="M87" s="61"/>
      <c r="N87" s="61"/>
      <c r="O87" s="61"/>
      <c r="P87" s="61"/>
      <c r="Q87" s="120"/>
      <c r="R87" s="120"/>
      <c r="S87" s="120"/>
      <c r="T87" s="120"/>
      <c r="U87" s="72">
        <f t="shared" si="124"/>
      </c>
      <c r="V87" s="72">
        <f t="shared" si="125"/>
      </c>
      <c r="W87" s="73">
        <f t="shared" si="126"/>
      </c>
      <c r="X87" s="72">
        <f t="shared" si="127"/>
      </c>
      <c r="Y87" s="72">
        <f t="shared" si="128"/>
      </c>
      <c r="Z87" s="72">
        <f t="shared" si="129"/>
      </c>
      <c r="AA87" s="72">
        <f t="shared" si="130"/>
      </c>
      <c r="AB87" s="72">
        <f t="shared" si="131"/>
      </c>
      <c r="AC87" s="72">
        <f t="shared" si="132"/>
      </c>
      <c r="AD87" s="74">
        <f aca="true" t="shared" si="139" ref="AD87:AD100">IF(L87="","",L87*IF(S87="",1,SQRT((SUMIF(Tipo_cable,J87,Tem_máx)-S87)/((SUMIF(Tipo_cable,J87,Tem_máx)-(SUMIF(Tipo_cable,J87,Tem_amb))))))*IF(T87="",1,T87))</f>
      </c>
      <c r="AE87" s="73">
        <f t="shared" si="67"/>
      </c>
      <c r="AF87" s="40">
        <f t="shared" si="68"/>
      </c>
      <c r="AG87" s="40">
        <f t="shared" si="104"/>
      </c>
      <c r="AH87" s="40">
        <f t="shared" si="24"/>
      </c>
      <c r="AI87" s="260">
        <f t="shared" si="25"/>
      </c>
      <c r="AJ87" s="40">
        <f t="shared" si="122"/>
      </c>
      <c r="AK87" s="40">
        <f t="shared" si="123"/>
      </c>
      <c r="AL87" s="261">
        <f t="shared" si="26"/>
      </c>
      <c r="AM87" s="40">
        <f aca="true" t="shared" si="140" ref="AM87:AM100">IF(B87="","",I87*IF($H$14="Sí",IF(OR($D87="S",$D87="RST"),IF($D$2="Sí",($W87/$D$6)*($AX87*$F87+$AY87*SIN(ACOS($F87))),-$W87*$F87/2-SQRT(3)/2*$W87*SIN(ACOS($F87))))+SUMIF(INICIO,$B87,S_RE),0))</f>
      </c>
      <c r="AN87" s="40">
        <f aca="true" t="shared" si="141" ref="AN87:AN100">IF(B87="","",I87*IF($H$14="Sí",IF(OR($D87="S",$D87="RST"),IF($D$2="Sí",($W87/$D$6)*($AY87*$F87-$AX87*SIN(ACOS($F87))),-SQRT(3)/2*$W87*$F87+0.5*$W87*SIN(ACOS($F87))))+SUMIF(INICIO,$B87,S_IM),0))</f>
      </c>
      <c r="AO87" s="40">
        <f t="shared" si="29"/>
      </c>
      <c r="AP87" s="40">
        <f aca="true" t="shared" si="142" ref="AP87:AP100">IF(B87="","",I87*IF($I$14="Sí",IF(OR($D87="T",$D87="RST"),IF($D$2="Sí",($W87/$D$6)*($AZ87*$F87+$BA87*SIN(ACOS($F87))),-$W87*$F87/2+SQRT(3)/2*$W87*SIN(ACOS($F87))))+SUMIF(INICIO,$B87,T_RE),0))</f>
      </c>
      <c r="AQ87" s="40">
        <f aca="true" t="shared" si="143" ref="AQ87:AQ100">IF(B87="","",I87*IF($I$14="Sí",IF(OR($D87="T",$D87="RST"),IF($D$2="Sí",($W87/$D$6)*($BA87*$F87-$AZ87*SIN(ACOS($F87))),SQRT(3)/2*$W87*$F87+0.5*$W87*SIN(ACOS($F87))))+SUMIF(INICIO,$B87,T_IM),0))</f>
      </c>
      <c r="AR87" s="40">
        <f t="shared" si="32"/>
      </c>
      <c r="AS87" s="40">
        <f t="shared" si="33"/>
      </c>
      <c r="AT87" s="40">
        <f t="shared" si="34"/>
      </c>
      <c r="AU87" s="40">
        <f t="shared" si="35"/>
      </c>
      <c r="AV87" s="73">
        <f t="shared" si="69"/>
      </c>
      <c r="AW87" s="73">
        <f t="shared" si="70"/>
      </c>
      <c r="AX87" s="73">
        <f t="shared" si="71"/>
      </c>
      <c r="AY87" s="73">
        <f t="shared" si="72"/>
      </c>
      <c r="AZ87" s="73">
        <f t="shared" si="73"/>
      </c>
      <c r="BA87" s="73">
        <f t="shared" si="74"/>
      </c>
      <c r="BB87" s="73">
        <f t="shared" si="75"/>
      </c>
      <c r="BC87" s="73">
        <f t="shared" si="76"/>
      </c>
      <c r="BD87" s="73">
        <f t="shared" si="77"/>
      </c>
      <c r="BE87" s="73">
        <f t="shared" si="36"/>
      </c>
      <c r="BF87" s="73">
        <f t="shared" si="37"/>
      </c>
      <c r="BG87" s="73">
        <f t="shared" si="38"/>
      </c>
      <c r="BH87" s="73">
        <f t="shared" si="133"/>
      </c>
      <c r="BI87" s="73">
        <f t="shared" si="102"/>
      </c>
      <c r="BJ87" s="73">
        <f t="shared" si="103"/>
      </c>
      <c r="BK87" s="40">
        <f t="shared" si="78"/>
      </c>
      <c r="BL87" s="40">
        <f t="shared" si="79"/>
      </c>
      <c r="BM87" s="40">
        <f t="shared" si="80"/>
      </c>
      <c r="BN87" s="40">
        <f t="shared" si="40"/>
      </c>
      <c r="BO87" s="40">
        <f aca="true" t="shared" si="144" ref="BO87:BO100">IF(B87="","",MAX(CR87:CT87)-CC87+1.25*CC87)</f>
      </c>
      <c r="BP87" s="40">
        <f t="shared" si="117"/>
      </c>
      <c r="BQ87" s="40">
        <f t="shared" si="42"/>
      </c>
      <c r="BR87" s="40">
        <f t="shared" si="118"/>
      </c>
      <c r="BS87" s="40">
        <f t="shared" si="81"/>
      </c>
      <c r="BT87" s="40">
        <f t="shared" si="120"/>
      </c>
      <c r="BU87" s="40">
        <f t="shared" si="45"/>
      </c>
      <c r="BV87" s="75">
        <f t="shared" si="46"/>
      </c>
      <c r="BW87" s="75">
        <f t="shared" si="47"/>
      </c>
      <c r="BX87" s="40">
        <f aca="true" t="shared" si="145" ref="BX87:BX100">IF(B87="","",$D$6/SQRT((BV87-U87)^2+(BW87-AB87+$S$12)^2)/1000)</f>
      </c>
      <c r="BY87" s="40">
        <f aca="true" t="shared" si="146" ref="BY87:BY101">IF(B87="","",SUMIF(Tipo_cable,J87,Constante_k)*K87/SQRT(IF(BZ87="",0.7,BZ87))/1000)</f>
      </c>
      <c r="BZ87" s="61"/>
      <c r="CA87" s="73">
        <f t="shared" si="134"/>
      </c>
      <c r="CB87" s="84"/>
      <c r="CC87" s="73">
        <f t="shared" si="121"/>
      </c>
      <c r="CD87" s="73">
        <f t="shared" si="91"/>
      </c>
      <c r="CE87" s="73">
        <f t="shared" si="92"/>
      </c>
      <c r="CF87" s="73">
        <f t="shared" si="93"/>
      </c>
      <c r="CG87" s="73">
        <f t="shared" si="135"/>
      </c>
      <c r="CH87" s="73">
        <f t="shared" si="136"/>
      </c>
      <c r="CI87" s="73">
        <f t="shared" si="137"/>
      </c>
      <c r="CJ87" s="76">
        <f t="shared" si="57"/>
      </c>
      <c r="CK87" s="76">
        <f t="shared" si="82"/>
      </c>
      <c r="CL87" s="76">
        <f t="shared" si="83"/>
      </c>
      <c r="CM87" s="76">
        <f t="shared" si="84"/>
      </c>
      <c r="CN87" s="40">
        <f aca="true" t="shared" si="147" ref="CN87:CN100">IF(B87="","",I87*(W87*F87+SUMIF(INICIO,$B87,I_cosfi)))</f>
      </c>
      <c r="CO87" s="40">
        <f t="shared" si="94"/>
      </c>
      <c r="CP87" s="40">
        <f t="shared" si="95"/>
      </c>
      <c r="CQ87" s="40">
        <f t="shared" si="96"/>
      </c>
      <c r="CR87" s="40">
        <f t="shared" si="97"/>
      </c>
      <c r="CS87" s="40">
        <f t="shared" si="87"/>
      </c>
      <c r="CT87" s="40">
        <f t="shared" si="61"/>
      </c>
      <c r="CU87" s="40">
        <f t="shared" si="99"/>
      </c>
      <c r="CV87" s="40">
        <f t="shared" si="100"/>
      </c>
      <c r="CW87" s="40">
        <f t="shared" si="101"/>
      </c>
      <c r="CX87" s="40">
        <f t="shared" si="88"/>
      </c>
      <c r="CY87" s="40">
        <f t="shared" si="89"/>
      </c>
      <c r="CZ87" s="40">
        <f t="shared" si="98"/>
      </c>
      <c r="DA87" s="40">
        <f t="shared" si="138"/>
      </c>
    </row>
    <row r="88" spans="1:105" ht="12.75">
      <c r="A88" s="54"/>
      <c r="B88" s="54"/>
      <c r="C88" s="54"/>
      <c r="D88" s="61"/>
      <c r="E88" s="54"/>
      <c r="F88" s="54"/>
      <c r="G88" s="61"/>
      <c r="H88" s="64"/>
      <c r="I88" s="54"/>
      <c r="J88" s="61"/>
      <c r="K88" s="61"/>
      <c r="L88" s="54"/>
      <c r="M88" s="61"/>
      <c r="N88" s="61"/>
      <c r="O88" s="61"/>
      <c r="P88" s="61"/>
      <c r="Q88" s="120"/>
      <c r="R88" s="120"/>
      <c r="S88" s="120"/>
      <c r="T88" s="120"/>
      <c r="U88" s="72">
        <f t="shared" si="124"/>
      </c>
      <c r="V88" s="72">
        <f t="shared" si="125"/>
      </c>
      <c r="W88" s="73">
        <f t="shared" si="126"/>
      </c>
      <c r="X88" s="72">
        <f t="shared" si="127"/>
      </c>
      <c r="Y88" s="72">
        <f t="shared" si="128"/>
      </c>
      <c r="Z88" s="72">
        <f t="shared" si="129"/>
      </c>
      <c r="AA88" s="72">
        <f t="shared" si="130"/>
      </c>
      <c r="AB88" s="72">
        <f t="shared" si="131"/>
      </c>
      <c r="AC88" s="72">
        <f t="shared" si="132"/>
      </c>
      <c r="AD88" s="74">
        <f t="shared" si="139"/>
      </c>
      <c r="AE88" s="73">
        <f t="shared" si="67"/>
      </c>
      <c r="AF88" s="40">
        <f aca="true" t="shared" si="148" ref="AF88:AF100">IF(B88="","",$D$6-MIN(BB88:BD88))</f>
      </c>
      <c r="AG88" s="40">
        <f t="shared" si="104"/>
      </c>
      <c r="AH88" s="40">
        <f aca="true" t="shared" si="149" ref="AH88:AH100">IF(B88="","",$D$5-MIN(BE88:BG88))</f>
      </c>
      <c r="AI88" s="260">
        <f aca="true" t="shared" si="150" ref="AI88:AI100">IF(B88="","",100*AH88/$D$5)</f>
      </c>
      <c r="AJ88" s="40">
        <f t="shared" si="122"/>
      </c>
      <c r="AK88" s="40">
        <f t="shared" si="123"/>
      </c>
      <c r="AL88" s="261">
        <f aca="true" t="shared" si="151" ref="AL88:AL100">IF(B88="","",SQRT(AJ88^2+AK88^2))</f>
      </c>
      <c r="AM88" s="40">
        <f t="shared" si="140"/>
      </c>
      <c r="AN88" s="40">
        <f t="shared" si="141"/>
      </c>
      <c r="AO88" s="40">
        <f aca="true" t="shared" si="152" ref="AO88:AO100">IF(B88="","",SQRT(AM88^2+AN88^2))</f>
      </c>
      <c r="AP88" s="40">
        <f t="shared" si="142"/>
      </c>
      <c r="AQ88" s="40">
        <f t="shared" si="143"/>
      </c>
      <c r="AR88" s="40">
        <f aca="true" t="shared" si="153" ref="AR88:AR100">IF(B88="","",SQRT(AP88^2+AQ88^2))</f>
      </c>
      <c r="AS88" s="40">
        <f aca="true" t="shared" si="154" ref="AS88:AS100">IF(B88="","",AJ88+AM88+AP88)</f>
      </c>
      <c r="AT88" s="40">
        <f aca="true" t="shared" si="155" ref="AT88:AT100">IF(B88="","",AK88+AN88+AQ88)</f>
      </c>
      <c r="AU88" s="40">
        <f aca="true" t="shared" si="156" ref="AU88:AU100">IF(B88="","",SQRT(AS88^2+AT88^2))</f>
      </c>
      <c r="AV88" s="73">
        <f t="shared" si="69"/>
      </c>
      <c r="AW88" s="73">
        <f t="shared" si="70"/>
      </c>
      <c r="AX88" s="73">
        <f t="shared" si="71"/>
      </c>
      <c r="AY88" s="73">
        <f t="shared" si="72"/>
      </c>
      <c r="AZ88" s="73">
        <f t="shared" si="73"/>
      </c>
      <c r="BA88" s="73">
        <f t="shared" si="74"/>
      </c>
      <c r="BB88" s="73">
        <f t="shared" si="75"/>
      </c>
      <c r="BC88" s="73">
        <f t="shared" si="76"/>
      </c>
      <c r="BD88" s="73">
        <f t="shared" si="77"/>
      </c>
      <c r="BE88" s="73">
        <f aca="true" t="shared" si="157" ref="BE88:BE101">IF(B88="","",SQRT((AV88-AX88)^2+(AW88-AY88)^2))</f>
      </c>
      <c r="BF88" s="73">
        <f aca="true" t="shared" si="158" ref="BF88:BF101">IF(B88="","",SQRT((AX88-AZ88)^2+(AY88-BA88)^2))</f>
      </c>
      <c r="BG88" s="73">
        <f aca="true" t="shared" si="159" ref="BG88:BG101">IF(B88="","",SQRT((AZ88-AV88)^2+(BA88-AW88)^2))</f>
      </c>
      <c r="BH88" s="73">
        <f t="shared" si="133"/>
      </c>
      <c r="BI88" s="73">
        <f t="shared" si="102"/>
      </c>
      <c r="BJ88" s="73">
        <f t="shared" si="103"/>
      </c>
      <c r="BK88" s="40">
        <f t="shared" si="78"/>
      </c>
      <c r="BL88" s="40">
        <f t="shared" si="79"/>
      </c>
      <c r="BM88" s="40">
        <f t="shared" si="80"/>
      </c>
      <c r="BN88" s="40">
        <f aca="true" t="shared" si="160" ref="BN88:BN100">IF(B88="","",100*($D$5-BM88)/$D$5)</f>
      </c>
      <c r="BO88" s="40">
        <f t="shared" si="144"/>
      </c>
      <c r="BP88" s="40">
        <f aca="true" t="shared" si="161" ref="BP88:BP100">IF(B88="","",SUMIF(FINAL,$A88,U_FINAL_R)-SQRT(3)*U88*CX88)</f>
      </c>
      <c r="BQ88" s="40">
        <f aca="true" t="shared" si="162" ref="BQ88:BQ100">IF(B88="","",100*($D$5-BP88)/$D$5)</f>
      </c>
      <c r="BR88" s="40">
        <f aca="true" t="shared" si="163" ref="BR88:BR100">IF(B88="","",SUMIF(FINAL,$A88,U_FINAL_S)-SQRT(3)*U88*CY88)</f>
      </c>
      <c r="BS88" s="40">
        <f t="shared" si="81"/>
      </c>
      <c r="BT88" s="40">
        <f t="shared" si="120"/>
      </c>
      <c r="BU88" s="40">
        <f aca="true" t="shared" si="164" ref="BU88:BU100">IF(B88="","",100*($D$5-BT88)/$D$5)</f>
      </c>
      <c r="BV88" s="75">
        <f aca="true" t="shared" si="165" ref="BV88:BV100">IF(B88="","",U88+SUMIF(FINAL,$A88,R_FINAL))</f>
      </c>
      <c r="BW88" s="75">
        <f aca="true" t="shared" si="166" ref="BW88:BW100">IF(B88="","",AB88+SUMIF(FINAL,$A88,X_FINAL))</f>
      </c>
      <c r="BX88" s="40">
        <f t="shared" si="145"/>
      </c>
      <c r="BY88" s="40">
        <f t="shared" si="146"/>
      </c>
      <c r="BZ88" s="61"/>
      <c r="CA88" s="73">
        <f t="shared" si="134"/>
      </c>
      <c r="CB88" s="84"/>
      <c r="CC88" s="73">
        <f t="shared" si="121"/>
      </c>
      <c r="CD88" s="73">
        <f t="shared" si="91"/>
      </c>
      <c r="CE88" s="73">
        <f t="shared" si="92"/>
      </c>
      <c r="CF88" s="73">
        <f t="shared" si="93"/>
      </c>
      <c r="CG88" s="73">
        <f t="shared" si="135"/>
      </c>
      <c r="CH88" s="73">
        <f t="shared" si="136"/>
      </c>
      <c r="CI88" s="73">
        <f t="shared" si="137"/>
      </c>
      <c r="CJ88" s="76">
        <f aca="true" t="shared" si="167" ref="CJ88:CJ100">IF(B88="","",C88*IF(P88="Unipolar/Cu",3,0))</f>
      </c>
      <c r="CK88" s="76">
        <f t="shared" si="82"/>
      </c>
      <c r="CL88" s="76">
        <f t="shared" si="83"/>
      </c>
      <c r="CM88" s="76">
        <f t="shared" si="84"/>
      </c>
      <c r="CN88" s="40">
        <f t="shared" si="147"/>
      </c>
      <c r="CO88" s="40">
        <f t="shared" si="94"/>
      </c>
      <c r="CP88" s="40">
        <f t="shared" si="95"/>
      </c>
      <c r="CQ88" s="40">
        <f t="shared" si="96"/>
      </c>
      <c r="CR88" s="40">
        <f t="shared" si="97"/>
      </c>
      <c r="CS88" s="40">
        <f t="shared" si="87"/>
      </c>
      <c r="CT88" s="40">
        <f aca="true" t="shared" si="168" ref="CT88:CT100">IF($B88="","",I88*IF($I$14="Sí",IF(OR($D88="T",$D88="RST"),$W88)+SUMIF(INICIO,$B88,I_tramoT),0))</f>
      </c>
      <c r="CU88" s="40">
        <f t="shared" si="99"/>
      </c>
      <c r="CV88" s="40">
        <f t="shared" si="100"/>
      </c>
      <c r="CW88" s="40">
        <f t="shared" si="101"/>
      </c>
      <c r="CX88" s="40">
        <f t="shared" si="88"/>
      </c>
      <c r="CY88" s="40">
        <f t="shared" si="89"/>
      </c>
      <c r="CZ88" s="40">
        <f t="shared" si="98"/>
      </c>
      <c r="DA88" s="40">
        <f t="shared" si="138"/>
      </c>
    </row>
    <row r="89" spans="1:105" ht="12.75">
      <c r="A89" s="54"/>
      <c r="B89" s="54"/>
      <c r="C89" s="54"/>
      <c r="D89" s="61"/>
      <c r="E89" s="54"/>
      <c r="F89" s="54"/>
      <c r="G89" s="61"/>
      <c r="H89" s="64"/>
      <c r="I89" s="54"/>
      <c r="J89" s="61"/>
      <c r="K89" s="61"/>
      <c r="L89" s="54"/>
      <c r="M89" s="61"/>
      <c r="N89" s="61"/>
      <c r="O89" s="61"/>
      <c r="P89" s="61"/>
      <c r="Q89" s="120"/>
      <c r="R89" s="120"/>
      <c r="S89" s="120"/>
      <c r="T89" s="120"/>
      <c r="U89" s="72">
        <f t="shared" si="124"/>
      </c>
      <c r="V89" s="72">
        <f t="shared" si="125"/>
      </c>
      <c r="W89" s="73">
        <f t="shared" si="126"/>
      </c>
      <c r="X89" s="72">
        <f t="shared" si="127"/>
      </c>
      <c r="Y89" s="72">
        <f t="shared" si="128"/>
      </c>
      <c r="Z89" s="72">
        <f t="shared" si="129"/>
      </c>
      <c r="AA89" s="72">
        <f t="shared" si="130"/>
      </c>
      <c r="AB89" s="72">
        <f t="shared" si="131"/>
      </c>
      <c r="AC89" s="72">
        <f t="shared" si="132"/>
      </c>
      <c r="AD89" s="74">
        <f t="shared" si="139"/>
      </c>
      <c r="AE89" s="73">
        <f aca="true" t="shared" si="169" ref="AE89:AE100">IF(B89="","",MAX(AL89,MAX(AO89,AR89))-CC89+1.25*CC89)</f>
      </c>
      <c r="AF89" s="40">
        <f t="shared" si="148"/>
      </c>
      <c r="AG89" s="40">
        <f t="shared" si="104"/>
      </c>
      <c r="AH89" s="40">
        <f t="shared" si="149"/>
      </c>
      <c r="AI89" s="260">
        <f t="shared" si="150"/>
      </c>
      <c r="AJ89" s="40">
        <f t="shared" si="122"/>
      </c>
      <c r="AK89" s="40">
        <f t="shared" si="123"/>
      </c>
      <c r="AL89" s="261">
        <f t="shared" si="151"/>
      </c>
      <c r="AM89" s="40">
        <f t="shared" si="140"/>
      </c>
      <c r="AN89" s="40">
        <f t="shared" si="141"/>
      </c>
      <c r="AO89" s="40">
        <f t="shared" si="152"/>
      </c>
      <c r="AP89" s="40">
        <f t="shared" si="142"/>
      </c>
      <c r="AQ89" s="40">
        <f t="shared" si="143"/>
      </c>
      <c r="AR89" s="40">
        <f t="shared" si="153"/>
      </c>
      <c r="AS89" s="40">
        <f t="shared" si="154"/>
      </c>
      <c r="AT89" s="40">
        <f t="shared" si="155"/>
      </c>
      <c r="AU89" s="40">
        <f t="shared" si="156"/>
      </c>
      <c r="AV89" s="73">
        <f aca="true" t="shared" si="170" ref="AV89:AV100">IF(B89="","",SUMIF(FINAL,$A89,ac_R_Re)-($X89*$AJ89-$AB89*$AK89)-($AA89*$AS89-$AC89*$AT89))</f>
      </c>
      <c r="AW89" s="73">
        <f aca="true" t="shared" si="171" ref="AW89:AW100">IF(B89="","",SUMIF(FINAL,$A89,ac_R_Im)-($X89*$AK89+$AB89*$AJ89)-($AA89*$AT89+$AC89*$AS89))</f>
      </c>
      <c r="AX89" s="73">
        <f aca="true" t="shared" si="172" ref="AX89:AX100">IF(B89="","",SUMIF(FINAL,$A89,ac_S_Re)-($Y89*$AM89-$AB89*$AN89)-($AA89*$AS89-$AC89*$AT89))</f>
      </c>
      <c r="AY89" s="73">
        <f aca="true" t="shared" si="173" ref="AY89:AY100">IF(B89="","",SUMIF(FINAL,$A89,ac_S_Im)-($Y89*$AN89+$AB89*$AM89)-($AA89*$AT89+$AC89*$AS89))</f>
      </c>
      <c r="AZ89" s="73">
        <f aca="true" t="shared" si="174" ref="AZ89:AZ100">IF(B89="","",SUMIF(FINAL,$A89,ac_T_Re)-($Z89*$AP89-$AB89*$AQ89)-($AA89*$AS89-$AC89*$AT89))</f>
      </c>
      <c r="BA89" s="73">
        <f aca="true" t="shared" si="175" ref="BA89:BA100">IF(B89="","",SUMIF(FINAL,$A89,ac_T_Im)-($Z89*$AQ89+$AB89*$AP89)-($AA89*$AT89+$AC89*$AS89))</f>
      </c>
      <c r="BB89" s="73">
        <f aca="true" t="shared" si="176" ref="BB89:BB100">IF(B89="","",SQRT(AV89^2+AW89^2))</f>
      </c>
      <c r="BC89" s="73">
        <f aca="true" t="shared" si="177" ref="BC89:BC100">IF(B89="","",SQRT(AX89^2+AY89^2))</f>
      </c>
      <c r="BD89" s="73">
        <f aca="true" t="shared" si="178" ref="BD89:BD100">IF(B89="","",SQRT(AZ89^2+BA89^2))</f>
      </c>
      <c r="BE89" s="73">
        <f t="shared" si="157"/>
      </c>
      <c r="BF89" s="73">
        <f t="shared" si="158"/>
      </c>
      <c r="BG89" s="73">
        <f t="shared" si="159"/>
      </c>
      <c r="BH89" s="73">
        <f t="shared" si="133"/>
      </c>
      <c r="BI89" s="73">
        <f t="shared" si="102"/>
      </c>
      <c r="BJ89" s="73">
        <f t="shared" si="103"/>
      </c>
      <c r="BK89" s="40">
        <f aca="true" t="shared" si="179" ref="BK89:BK100">IF(B89="","",I89*(W89+SUMIF(INICIO,$B89,I_tramo)))</f>
      </c>
      <c r="BL89" s="40">
        <f aca="true" t="shared" si="180" ref="BL89:BL100">IF(B89="","",BK89-CC89+1.25*CC89)</f>
      </c>
      <c r="BM89" s="40">
        <f aca="true" t="shared" si="181" ref="BM89:BM100">IF(B89="","",SUMIF(FINAL,$A89,U_FINAL)-SQRT(3)*U89*CN89)</f>
      </c>
      <c r="BN89" s="40">
        <f t="shared" si="160"/>
      </c>
      <c r="BO89" s="40">
        <f t="shared" si="144"/>
      </c>
      <c r="BP89" s="40">
        <f t="shared" si="161"/>
      </c>
      <c r="BQ89" s="40">
        <f t="shared" si="162"/>
      </c>
      <c r="BR89" s="40">
        <f t="shared" si="163"/>
      </c>
      <c r="BS89" s="40">
        <f aca="true" t="shared" si="182" ref="BS89:BS100">IF(B89="","",100*($D$5-BR89)/$D$5)</f>
      </c>
      <c r="BT89" s="40">
        <f t="shared" si="120"/>
      </c>
      <c r="BU89" s="40">
        <f t="shared" si="164"/>
      </c>
      <c r="BV89" s="75">
        <f t="shared" si="165"/>
      </c>
      <c r="BW89" s="75">
        <f t="shared" si="166"/>
      </c>
      <c r="BX89" s="40">
        <f t="shared" si="145"/>
      </c>
      <c r="BY89" s="40">
        <f t="shared" si="146"/>
      </c>
      <c r="BZ89" s="61"/>
      <c r="CA89" s="73">
        <f t="shared" si="134"/>
      </c>
      <c r="CB89" s="84"/>
      <c r="CC89" s="73">
        <f aca="true" t="shared" si="183" ref="CC89:CC100">IF(FINAL="","",SUMIF(FINAL,$H89,I_nom_A))</f>
      </c>
      <c r="CD89" s="73">
        <f t="shared" si="91"/>
      </c>
      <c r="CE89" s="73">
        <f t="shared" si="92"/>
      </c>
      <c r="CF89" s="73">
        <f t="shared" si="93"/>
      </c>
      <c r="CG89" s="73">
        <f t="shared" si="135"/>
      </c>
      <c r="CH89" s="73">
        <f t="shared" si="136"/>
      </c>
      <c r="CI89" s="73">
        <f t="shared" si="137"/>
      </c>
      <c r="CJ89" s="76">
        <f t="shared" si="167"/>
      </c>
      <c r="CK89" s="76">
        <f aca="true" t="shared" si="184" ref="CK89:CK100">IF(B89="","",C89*IF(P89="Unipolar/Al",3,0))</f>
      </c>
      <c r="CL89" s="76">
        <f aca="true" t="shared" si="185" ref="CL89:CL100">IF(B89="","",C89*IF(P89="Tripolar/Cu",1,0))</f>
      </c>
      <c r="CM89" s="76">
        <f aca="true" t="shared" si="186" ref="CM89:CM100">IF(B89="","",C89*IF(P89="Tripolar/Al",1,0))</f>
      </c>
      <c r="CN89" s="40">
        <f t="shared" si="147"/>
      </c>
      <c r="CO89" s="40">
        <f t="shared" si="94"/>
      </c>
      <c r="CP89" s="40">
        <f t="shared" si="95"/>
      </c>
      <c r="CQ89" s="40">
        <f t="shared" si="96"/>
      </c>
      <c r="CR89" s="40">
        <f t="shared" si="97"/>
      </c>
      <c r="CS89" s="40">
        <f t="shared" si="87"/>
      </c>
      <c r="CT89" s="40">
        <f t="shared" si="168"/>
      </c>
      <c r="CU89" s="40">
        <f t="shared" si="99"/>
      </c>
      <c r="CV89" s="40">
        <f t="shared" si="100"/>
      </c>
      <c r="CW89" s="40">
        <f t="shared" si="101"/>
      </c>
      <c r="CX89" s="40">
        <f t="shared" si="88"/>
      </c>
      <c r="CY89" s="40">
        <f t="shared" si="89"/>
      </c>
      <c r="CZ89" s="40">
        <f t="shared" si="98"/>
      </c>
      <c r="DA89" s="40">
        <f t="shared" si="138"/>
      </c>
    </row>
    <row r="90" spans="1:105" ht="12.75">
      <c r="A90" s="54"/>
      <c r="B90" s="54"/>
      <c r="C90" s="54"/>
      <c r="D90" s="61"/>
      <c r="E90" s="54"/>
      <c r="F90" s="54"/>
      <c r="G90" s="61"/>
      <c r="H90" s="64"/>
      <c r="I90" s="54"/>
      <c r="J90" s="61"/>
      <c r="K90" s="61"/>
      <c r="L90" s="54"/>
      <c r="M90" s="61"/>
      <c r="N90" s="61"/>
      <c r="O90" s="61"/>
      <c r="P90" s="61"/>
      <c r="Q90" s="120"/>
      <c r="R90" s="120"/>
      <c r="S90" s="120"/>
      <c r="T90" s="120"/>
      <c r="U90" s="72">
        <f t="shared" si="124"/>
      </c>
      <c r="V90" s="72">
        <f t="shared" si="125"/>
      </c>
      <c r="W90" s="73">
        <f t="shared" si="126"/>
      </c>
      <c r="X90" s="72">
        <f t="shared" si="127"/>
      </c>
      <c r="Y90" s="72">
        <f t="shared" si="128"/>
      </c>
      <c r="Z90" s="72">
        <f t="shared" si="129"/>
      </c>
      <c r="AA90" s="72">
        <f t="shared" si="130"/>
      </c>
      <c r="AB90" s="72">
        <f t="shared" si="131"/>
      </c>
      <c r="AC90" s="72">
        <f t="shared" si="132"/>
      </c>
      <c r="AD90" s="74">
        <f t="shared" si="139"/>
      </c>
      <c r="AE90" s="73">
        <f t="shared" si="169"/>
      </c>
      <c r="AF90" s="40">
        <f t="shared" si="148"/>
      </c>
      <c r="AG90" s="40">
        <f t="shared" si="104"/>
      </c>
      <c r="AH90" s="40">
        <f t="shared" si="149"/>
      </c>
      <c r="AI90" s="260">
        <f t="shared" si="150"/>
      </c>
      <c r="AJ90" s="40">
        <f t="shared" si="122"/>
      </c>
      <c r="AK90" s="40">
        <f t="shared" si="123"/>
      </c>
      <c r="AL90" s="261">
        <f t="shared" si="151"/>
      </c>
      <c r="AM90" s="40">
        <f t="shared" si="140"/>
      </c>
      <c r="AN90" s="40">
        <f t="shared" si="141"/>
      </c>
      <c r="AO90" s="40">
        <f t="shared" si="152"/>
      </c>
      <c r="AP90" s="40">
        <f t="shared" si="142"/>
      </c>
      <c r="AQ90" s="40">
        <f t="shared" si="143"/>
      </c>
      <c r="AR90" s="40">
        <f t="shared" si="153"/>
      </c>
      <c r="AS90" s="40">
        <f t="shared" si="154"/>
      </c>
      <c r="AT90" s="40">
        <f t="shared" si="155"/>
      </c>
      <c r="AU90" s="40">
        <f t="shared" si="156"/>
      </c>
      <c r="AV90" s="73">
        <f t="shared" si="170"/>
      </c>
      <c r="AW90" s="73">
        <f t="shared" si="171"/>
      </c>
      <c r="AX90" s="73">
        <f t="shared" si="172"/>
      </c>
      <c r="AY90" s="73">
        <f t="shared" si="173"/>
      </c>
      <c r="AZ90" s="73">
        <f t="shared" si="174"/>
      </c>
      <c r="BA90" s="73">
        <f t="shared" si="175"/>
      </c>
      <c r="BB90" s="73">
        <f t="shared" si="176"/>
      </c>
      <c r="BC90" s="73">
        <f t="shared" si="177"/>
      </c>
      <c r="BD90" s="73">
        <f t="shared" si="178"/>
      </c>
      <c r="BE90" s="73">
        <f t="shared" si="157"/>
      </c>
      <c r="BF90" s="73">
        <f t="shared" si="158"/>
      </c>
      <c r="BG90" s="73">
        <f t="shared" si="159"/>
      </c>
      <c r="BH90" s="73">
        <f t="shared" si="133"/>
      </c>
      <c r="BI90" s="73">
        <f t="shared" si="102"/>
      </c>
      <c r="BJ90" s="73">
        <f t="shared" si="103"/>
      </c>
      <c r="BK90" s="40">
        <f t="shared" si="179"/>
      </c>
      <c r="BL90" s="40">
        <f t="shared" si="180"/>
      </c>
      <c r="BM90" s="40">
        <f t="shared" si="181"/>
      </c>
      <c r="BN90" s="40">
        <f t="shared" si="160"/>
      </c>
      <c r="BO90" s="40">
        <f t="shared" si="144"/>
      </c>
      <c r="BP90" s="40">
        <f t="shared" si="161"/>
      </c>
      <c r="BQ90" s="40">
        <f t="shared" si="162"/>
      </c>
      <c r="BR90" s="40">
        <f t="shared" si="163"/>
      </c>
      <c r="BS90" s="40">
        <f t="shared" si="182"/>
      </c>
      <c r="BT90" s="40">
        <f t="shared" si="120"/>
      </c>
      <c r="BU90" s="40">
        <f t="shared" si="164"/>
      </c>
      <c r="BV90" s="75">
        <f t="shared" si="165"/>
      </c>
      <c r="BW90" s="75">
        <f t="shared" si="166"/>
      </c>
      <c r="BX90" s="40">
        <f t="shared" si="145"/>
      </c>
      <c r="BY90" s="40">
        <f t="shared" si="146"/>
      </c>
      <c r="BZ90" s="61"/>
      <c r="CA90" s="73">
        <f t="shared" si="134"/>
      </c>
      <c r="CB90" s="84"/>
      <c r="CC90" s="73">
        <f t="shared" si="183"/>
      </c>
      <c r="CD90" s="73">
        <f t="shared" si="91"/>
      </c>
      <c r="CE90" s="73">
        <f t="shared" si="92"/>
      </c>
      <c r="CF90" s="73">
        <f t="shared" si="93"/>
      </c>
      <c r="CG90" s="73">
        <f t="shared" si="135"/>
      </c>
      <c r="CH90" s="73">
        <f t="shared" si="136"/>
      </c>
      <c r="CI90" s="73">
        <f t="shared" si="137"/>
      </c>
      <c r="CJ90" s="76">
        <f t="shared" si="167"/>
      </c>
      <c r="CK90" s="76">
        <f t="shared" si="184"/>
      </c>
      <c r="CL90" s="76">
        <f t="shared" si="185"/>
      </c>
      <c r="CM90" s="76">
        <f t="shared" si="186"/>
      </c>
      <c r="CN90" s="40">
        <f t="shared" si="147"/>
      </c>
      <c r="CO90" s="40">
        <f t="shared" si="94"/>
      </c>
      <c r="CP90" s="40">
        <f t="shared" si="95"/>
      </c>
      <c r="CQ90" s="40">
        <f t="shared" si="96"/>
      </c>
      <c r="CR90" s="40">
        <f t="shared" si="97"/>
      </c>
      <c r="CS90" s="40">
        <f t="shared" si="87"/>
      </c>
      <c r="CT90" s="40">
        <f t="shared" si="168"/>
      </c>
      <c r="CU90" s="40">
        <f t="shared" si="99"/>
      </c>
      <c r="CV90" s="40">
        <f t="shared" si="100"/>
      </c>
      <c r="CW90" s="40">
        <f t="shared" si="101"/>
      </c>
      <c r="CX90" s="40">
        <f t="shared" si="88"/>
      </c>
      <c r="CY90" s="40">
        <f t="shared" si="89"/>
      </c>
      <c r="CZ90" s="40">
        <f t="shared" si="98"/>
      </c>
      <c r="DA90" s="40">
        <f t="shared" si="138"/>
      </c>
    </row>
    <row r="91" spans="1:105" ht="12.75">
      <c r="A91" s="54"/>
      <c r="B91" s="54"/>
      <c r="C91" s="54"/>
      <c r="D91" s="61"/>
      <c r="E91" s="54"/>
      <c r="F91" s="54"/>
      <c r="G91" s="61"/>
      <c r="H91" s="64"/>
      <c r="I91" s="54"/>
      <c r="J91" s="61"/>
      <c r="K91" s="61"/>
      <c r="L91" s="54"/>
      <c r="M91" s="61"/>
      <c r="N91" s="61"/>
      <c r="O91" s="61"/>
      <c r="P91" s="61"/>
      <c r="Q91" s="120"/>
      <c r="R91" s="120"/>
      <c r="S91" s="120"/>
      <c r="T91" s="120"/>
      <c r="U91" s="72">
        <f t="shared" si="124"/>
      </c>
      <c r="V91" s="72">
        <f t="shared" si="125"/>
      </c>
      <c r="W91" s="73">
        <f t="shared" si="126"/>
      </c>
      <c r="X91" s="72">
        <f t="shared" si="127"/>
      </c>
      <c r="Y91" s="72">
        <f t="shared" si="128"/>
      </c>
      <c r="Z91" s="72">
        <f t="shared" si="129"/>
      </c>
      <c r="AA91" s="72">
        <f t="shared" si="130"/>
      </c>
      <c r="AB91" s="72">
        <f t="shared" si="131"/>
      </c>
      <c r="AC91" s="72">
        <f t="shared" si="132"/>
      </c>
      <c r="AD91" s="74">
        <f t="shared" si="139"/>
      </c>
      <c r="AE91" s="73">
        <f t="shared" si="169"/>
      </c>
      <c r="AF91" s="40">
        <f t="shared" si="148"/>
      </c>
      <c r="AG91" s="40">
        <f t="shared" si="104"/>
      </c>
      <c r="AH91" s="40">
        <f t="shared" si="149"/>
      </c>
      <c r="AI91" s="260">
        <f t="shared" si="150"/>
      </c>
      <c r="AJ91" s="40">
        <f t="shared" si="122"/>
      </c>
      <c r="AK91" s="40">
        <f t="shared" si="123"/>
      </c>
      <c r="AL91" s="261">
        <f t="shared" si="151"/>
      </c>
      <c r="AM91" s="40">
        <f t="shared" si="140"/>
      </c>
      <c r="AN91" s="40">
        <f t="shared" si="141"/>
      </c>
      <c r="AO91" s="40">
        <f t="shared" si="152"/>
      </c>
      <c r="AP91" s="40">
        <f t="shared" si="142"/>
      </c>
      <c r="AQ91" s="40">
        <f t="shared" si="143"/>
      </c>
      <c r="AR91" s="40">
        <f t="shared" si="153"/>
      </c>
      <c r="AS91" s="40">
        <f t="shared" si="154"/>
      </c>
      <c r="AT91" s="40">
        <f t="shared" si="155"/>
      </c>
      <c r="AU91" s="40">
        <f t="shared" si="156"/>
      </c>
      <c r="AV91" s="73">
        <f t="shared" si="170"/>
      </c>
      <c r="AW91" s="73">
        <f t="shared" si="171"/>
      </c>
      <c r="AX91" s="73">
        <f t="shared" si="172"/>
      </c>
      <c r="AY91" s="73">
        <f t="shared" si="173"/>
      </c>
      <c r="AZ91" s="73">
        <f t="shared" si="174"/>
      </c>
      <c r="BA91" s="73">
        <f t="shared" si="175"/>
      </c>
      <c r="BB91" s="73">
        <f t="shared" si="176"/>
      </c>
      <c r="BC91" s="73">
        <f t="shared" si="177"/>
      </c>
      <c r="BD91" s="73">
        <f t="shared" si="178"/>
      </c>
      <c r="BE91" s="73">
        <f t="shared" si="157"/>
      </c>
      <c r="BF91" s="73">
        <f t="shared" si="158"/>
      </c>
      <c r="BG91" s="73">
        <f t="shared" si="159"/>
      </c>
      <c r="BH91" s="73">
        <f t="shared" si="133"/>
      </c>
      <c r="BI91" s="73">
        <f t="shared" si="102"/>
      </c>
      <c r="BJ91" s="73">
        <f t="shared" si="103"/>
      </c>
      <c r="BK91" s="40">
        <f t="shared" si="179"/>
      </c>
      <c r="BL91" s="40">
        <f t="shared" si="180"/>
      </c>
      <c r="BM91" s="40">
        <f t="shared" si="181"/>
      </c>
      <c r="BN91" s="40">
        <f t="shared" si="160"/>
      </c>
      <c r="BO91" s="40">
        <f t="shared" si="144"/>
      </c>
      <c r="BP91" s="40">
        <f t="shared" si="161"/>
      </c>
      <c r="BQ91" s="40">
        <f t="shared" si="162"/>
      </c>
      <c r="BR91" s="40">
        <f t="shared" si="163"/>
      </c>
      <c r="BS91" s="40">
        <f t="shared" si="182"/>
      </c>
      <c r="BT91" s="40">
        <f t="shared" si="120"/>
      </c>
      <c r="BU91" s="40">
        <f t="shared" si="164"/>
      </c>
      <c r="BV91" s="75">
        <f t="shared" si="165"/>
      </c>
      <c r="BW91" s="75">
        <f t="shared" si="166"/>
      </c>
      <c r="BX91" s="40">
        <f t="shared" si="145"/>
      </c>
      <c r="BY91" s="40">
        <f t="shared" si="146"/>
      </c>
      <c r="BZ91" s="61"/>
      <c r="CA91" s="73">
        <f t="shared" si="134"/>
      </c>
      <c r="CB91" s="84"/>
      <c r="CC91" s="73">
        <f t="shared" si="183"/>
      </c>
      <c r="CD91" s="73">
        <f t="shared" si="91"/>
      </c>
      <c r="CE91" s="73">
        <f t="shared" si="92"/>
      </c>
      <c r="CF91" s="73">
        <f t="shared" si="93"/>
      </c>
      <c r="CG91" s="73">
        <f t="shared" si="135"/>
      </c>
      <c r="CH91" s="73">
        <f t="shared" si="136"/>
      </c>
      <c r="CI91" s="73">
        <f t="shared" si="137"/>
      </c>
      <c r="CJ91" s="76">
        <f t="shared" si="167"/>
      </c>
      <c r="CK91" s="76">
        <f t="shared" si="184"/>
      </c>
      <c r="CL91" s="76">
        <f t="shared" si="185"/>
      </c>
      <c r="CM91" s="76">
        <f t="shared" si="186"/>
      </c>
      <c r="CN91" s="40">
        <f t="shared" si="147"/>
      </c>
      <c r="CO91" s="40">
        <f t="shared" si="94"/>
      </c>
      <c r="CP91" s="40">
        <f t="shared" si="95"/>
      </c>
      <c r="CQ91" s="40">
        <f t="shared" si="96"/>
      </c>
      <c r="CR91" s="40">
        <f t="shared" si="97"/>
      </c>
      <c r="CS91" s="40">
        <f t="shared" si="87"/>
      </c>
      <c r="CT91" s="40">
        <f t="shared" si="168"/>
      </c>
      <c r="CU91" s="40">
        <f t="shared" si="99"/>
      </c>
      <c r="CV91" s="40">
        <f t="shared" si="100"/>
      </c>
      <c r="CW91" s="40">
        <f t="shared" si="101"/>
      </c>
      <c r="CX91" s="40">
        <f t="shared" si="88"/>
      </c>
      <c r="CY91" s="40">
        <f t="shared" si="89"/>
      </c>
      <c r="CZ91" s="40">
        <f t="shared" si="98"/>
      </c>
      <c r="DA91" s="40">
        <f t="shared" si="138"/>
      </c>
    </row>
    <row r="92" spans="1:105" ht="12.75">
      <c r="A92" s="54"/>
      <c r="B92" s="54"/>
      <c r="C92" s="54"/>
      <c r="D92" s="61"/>
      <c r="E92" s="54"/>
      <c r="F92" s="54"/>
      <c r="G92" s="61"/>
      <c r="H92" s="64"/>
      <c r="I92" s="54"/>
      <c r="J92" s="61"/>
      <c r="K92" s="61"/>
      <c r="L92" s="54"/>
      <c r="M92" s="61"/>
      <c r="N92" s="61"/>
      <c r="O92" s="61"/>
      <c r="P92" s="61"/>
      <c r="Q92" s="120"/>
      <c r="R92" s="120"/>
      <c r="S92" s="120"/>
      <c r="T92" s="120"/>
      <c r="U92" s="72">
        <f t="shared" si="124"/>
      </c>
      <c r="V92" s="72">
        <f t="shared" si="125"/>
      </c>
      <c r="W92" s="73">
        <f t="shared" si="126"/>
      </c>
      <c r="X92" s="72">
        <f t="shared" si="127"/>
      </c>
      <c r="Y92" s="72">
        <f t="shared" si="128"/>
      </c>
      <c r="Z92" s="72">
        <f t="shared" si="129"/>
      </c>
      <c r="AA92" s="72">
        <f t="shared" si="130"/>
      </c>
      <c r="AB92" s="72">
        <f t="shared" si="131"/>
      </c>
      <c r="AC92" s="72">
        <f t="shared" si="132"/>
      </c>
      <c r="AD92" s="74">
        <f t="shared" si="139"/>
      </c>
      <c r="AE92" s="73">
        <f t="shared" si="169"/>
      </c>
      <c r="AF92" s="40">
        <f t="shared" si="148"/>
      </c>
      <c r="AG92" s="40">
        <f t="shared" si="104"/>
      </c>
      <c r="AH92" s="40">
        <f t="shared" si="149"/>
      </c>
      <c r="AI92" s="260">
        <f t="shared" si="150"/>
      </c>
      <c r="AJ92" s="40">
        <f t="shared" si="122"/>
      </c>
      <c r="AK92" s="40">
        <f t="shared" si="123"/>
      </c>
      <c r="AL92" s="261">
        <f t="shared" si="151"/>
      </c>
      <c r="AM92" s="40">
        <f t="shared" si="140"/>
      </c>
      <c r="AN92" s="40">
        <f t="shared" si="141"/>
      </c>
      <c r="AO92" s="40">
        <f t="shared" si="152"/>
      </c>
      <c r="AP92" s="40">
        <f t="shared" si="142"/>
      </c>
      <c r="AQ92" s="40">
        <f t="shared" si="143"/>
      </c>
      <c r="AR92" s="40">
        <f t="shared" si="153"/>
      </c>
      <c r="AS92" s="40">
        <f t="shared" si="154"/>
      </c>
      <c r="AT92" s="40">
        <f t="shared" si="155"/>
      </c>
      <c r="AU92" s="40">
        <f t="shared" si="156"/>
      </c>
      <c r="AV92" s="73">
        <f t="shared" si="170"/>
      </c>
      <c r="AW92" s="73">
        <f t="shared" si="171"/>
      </c>
      <c r="AX92" s="73">
        <f t="shared" si="172"/>
      </c>
      <c r="AY92" s="73">
        <f t="shared" si="173"/>
      </c>
      <c r="AZ92" s="73">
        <f t="shared" si="174"/>
      </c>
      <c r="BA92" s="73">
        <f t="shared" si="175"/>
      </c>
      <c r="BB92" s="73">
        <f t="shared" si="176"/>
      </c>
      <c r="BC92" s="73">
        <f t="shared" si="177"/>
      </c>
      <c r="BD92" s="73">
        <f t="shared" si="178"/>
      </c>
      <c r="BE92" s="73">
        <f t="shared" si="157"/>
      </c>
      <c r="BF92" s="73">
        <f t="shared" si="158"/>
      </c>
      <c r="BG92" s="73">
        <f t="shared" si="159"/>
      </c>
      <c r="BH92" s="73">
        <f t="shared" si="133"/>
      </c>
      <c r="BI92" s="73">
        <f t="shared" si="102"/>
      </c>
      <c r="BJ92" s="73">
        <f t="shared" si="103"/>
      </c>
      <c r="BK92" s="40">
        <f t="shared" si="179"/>
      </c>
      <c r="BL92" s="40">
        <f t="shared" si="180"/>
      </c>
      <c r="BM92" s="40">
        <f t="shared" si="181"/>
      </c>
      <c r="BN92" s="40">
        <f t="shared" si="160"/>
      </c>
      <c r="BO92" s="40">
        <f t="shared" si="144"/>
      </c>
      <c r="BP92" s="40">
        <f t="shared" si="161"/>
      </c>
      <c r="BQ92" s="40">
        <f t="shared" si="162"/>
      </c>
      <c r="BR92" s="40">
        <f t="shared" si="163"/>
      </c>
      <c r="BS92" s="40">
        <f t="shared" si="182"/>
      </c>
      <c r="BT92" s="40">
        <f t="shared" si="120"/>
      </c>
      <c r="BU92" s="40">
        <f t="shared" si="164"/>
      </c>
      <c r="BV92" s="75">
        <f t="shared" si="165"/>
      </c>
      <c r="BW92" s="75">
        <f t="shared" si="166"/>
      </c>
      <c r="BX92" s="40">
        <f t="shared" si="145"/>
      </c>
      <c r="BY92" s="40">
        <f t="shared" si="146"/>
      </c>
      <c r="BZ92" s="61"/>
      <c r="CA92" s="73">
        <f t="shared" si="134"/>
      </c>
      <c r="CB92" s="84"/>
      <c r="CC92" s="73">
        <f t="shared" si="183"/>
      </c>
      <c r="CD92" s="73">
        <f aca="true" t="shared" si="187" ref="CD92:CD100">IF(A92="","",IF(OR($D92="R",$D92="RST"),1,0))</f>
      </c>
      <c r="CE92" s="73">
        <f aca="true" t="shared" si="188" ref="CE92:CE100">IF(A92="","",IF(OR($D92="S",$D92="RST"),1,0))</f>
      </c>
      <c r="CF92" s="73">
        <f aca="true" t="shared" si="189" ref="CF92:CF100">IF(A92="","",IF(OR($D92="T",$D92="RST"),1,0))</f>
      </c>
      <c r="CG92" s="73">
        <f t="shared" si="135"/>
      </c>
      <c r="CH92" s="73">
        <f t="shared" si="136"/>
      </c>
      <c r="CI92" s="73">
        <f t="shared" si="137"/>
      </c>
      <c r="CJ92" s="76">
        <f t="shared" si="167"/>
      </c>
      <c r="CK92" s="76">
        <f t="shared" si="184"/>
      </c>
      <c r="CL92" s="76">
        <f t="shared" si="185"/>
      </c>
      <c r="CM92" s="76">
        <f t="shared" si="186"/>
      </c>
      <c r="CN92" s="40">
        <f t="shared" si="147"/>
      </c>
      <c r="CO92" s="40">
        <f aca="true" t="shared" si="190" ref="CO92:CO100">IF(B92="","",AL92-CG92+1.25*CG92)</f>
      </c>
      <c r="CP92" s="40">
        <f aca="true" t="shared" si="191" ref="CP92:CP100">IF(B92="","",AO92-CH92+1.25*CH92)</f>
      </c>
      <c r="CQ92" s="40">
        <f aca="true" t="shared" si="192" ref="CQ92:CQ100">IF(B92="","",AR92-CI92+1.25*CI92)</f>
      </c>
      <c r="CR92" s="40">
        <f aca="true" t="shared" si="193" ref="CR92:CR100">IF($B92="","",I92*IF($G$14="Sí",IF(OR($D92="R",$D92="RST"),$W92)+SUMIF(INICIO,$B92,I_tramoR),0))</f>
      </c>
      <c r="CS92" s="40">
        <f t="shared" si="87"/>
      </c>
      <c r="CT92" s="40">
        <f t="shared" si="168"/>
      </c>
      <c r="CU92" s="40">
        <f t="shared" si="99"/>
      </c>
      <c r="CV92" s="40">
        <f t="shared" si="100"/>
      </c>
      <c r="CW92" s="40">
        <f t="shared" si="101"/>
      </c>
      <c r="CX92" s="40">
        <f t="shared" si="88"/>
      </c>
      <c r="CY92" s="40">
        <f t="shared" si="89"/>
      </c>
      <c r="CZ92" s="40">
        <f t="shared" si="98"/>
      </c>
      <c r="DA92" s="40">
        <f t="shared" si="138"/>
      </c>
    </row>
    <row r="93" spans="1:105" ht="12.75">
      <c r="A93" s="54"/>
      <c r="B93" s="54"/>
      <c r="C93" s="54"/>
      <c r="D93" s="61"/>
      <c r="E93" s="54"/>
      <c r="F93" s="54"/>
      <c r="G93" s="61"/>
      <c r="H93" s="64"/>
      <c r="I93" s="54"/>
      <c r="J93" s="61"/>
      <c r="K93" s="61"/>
      <c r="L93" s="54"/>
      <c r="M93" s="61"/>
      <c r="N93" s="61"/>
      <c r="O93" s="61"/>
      <c r="P93" s="61"/>
      <c r="Q93" s="120"/>
      <c r="R93" s="120"/>
      <c r="S93" s="120"/>
      <c r="T93" s="120"/>
      <c r="U93" s="72">
        <f t="shared" si="124"/>
      </c>
      <c r="V93" s="72">
        <f t="shared" si="125"/>
      </c>
      <c r="W93" s="73">
        <f t="shared" si="126"/>
      </c>
      <c r="X93" s="72">
        <f t="shared" si="127"/>
      </c>
      <c r="Y93" s="72">
        <f t="shared" si="128"/>
      </c>
      <c r="Z93" s="72">
        <f t="shared" si="129"/>
      </c>
      <c r="AA93" s="72">
        <f t="shared" si="130"/>
      </c>
      <c r="AB93" s="72">
        <f t="shared" si="131"/>
      </c>
      <c r="AC93" s="72">
        <f t="shared" si="132"/>
      </c>
      <c r="AD93" s="74">
        <f t="shared" si="139"/>
      </c>
      <c r="AE93" s="73">
        <f t="shared" si="169"/>
      </c>
      <c r="AF93" s="40">
        <f t="shared" si="148"/>
      </c>
      <c r="AG93" s="40">
        <f t="shared" si="104"/>
      </c>
      <c r="AH93" s="40">
        <f t="shared" si="149"/>
      </c>
      <c r="AI93" s="260">
        <f t="shared" si="150"/>
      </c>
      <c r="AJ93" s="40">
        <f t="shared" si="122"/>
      </c>
      <c r="AK93" s="40">
        <f t="shared" si="123"/>
      </c>
      <c r="AL93" s="261">
        <f t="shared" si="151"/>
      </c>
      <c r="AM93" s="40">
        <f t="shared" si="140"/>
      </c>
      <c r="AN93" s="40">
        <f t="shared" si="141"/>
      </c>
      <c r="AO93" s="40">
        <f t="shared" si="152"/>
      </c>
      <c r="AP93" s="40">
        <f t="shared" si="142"/>
      </c>
      <c r="AQ93" s="40">
        <f t="shared" si="143"/>
      </c>
      <c r="AR93" s="40">
        <f t="shared" si="153"/>
      </c>
      <c r="AS93" s="40">
        <f t="shared" si="154"/>
      </c>
      <c r="AT93" s="40">
        <f t="shared" si="155"/>
      </c>
      <c r="AU93" s="40">
        <f t="shared" si="156"/>
      </c>
      <c r="AV93" s="73">
        <f t="shared" si="170"/>
      </c>
      <c r="AW93" s="73">
        <f t="shared" si="171"/>
      </c>
      <c r="AX93" s="73">
        <f t="shared" si="172"/>
      </c>
      <c r="AY93" s="73">
        <f t="shared" si="173"/>
      </c>
      <c r="AZ93" s="73">
        <f t="shared" si="174"/>
      </c>
      <c r="BA93" s="73">
        <f t="shared" si="175"/>
      </c>
      <c r="BB93" s="73">
        <f t="shared" si="176"/>
      </c>
      <c r="BC93" s="73">
        <f t="shared" si="177"/>
      </c>
      <c r="BD93" s="73">
        <f t="shared" si="178"/>
      </c>
      <c r="BE93" s="73">
        <f t="shared" si="157"/>
      </c>
      <c r="BF93" s="73">
        <f t="shared" si="158"/>
      </c>
      <c r="BG93" s="73">
        <f t="shared" si="159"/>
      </c>
      <c r="BH93" s="73">
        <f t="shared" si="133"/>
      </c>
      <c r="BI93" s="73">
        <f t="shared" si="102"/>
      </c>
      <c r="BJ93" s="73">
        <f t="shared" si="103"/>
      </c>
      <c r="BK93" s="40">
        <f t="shared" si="179"/>
      </c>
      <c r="BL93" s="40">
        <f t="shared" si="180"/>
      </c>
      <c r="BM93" s="40">
        <f t="shared" si="181"/>
      </c>
      <c r="BN93" s="40">
        <f t="shared" si="160"/>
      </c>
      <c r="BO93" s="40">
        <f t="shared" si="144"/>
      </c>
      <c r="BP93" s="40">
        <f t="shared" si="161"/>
      </c>
      <c r="BQ93" s="40">
        <f t="shared" si="162"/>
      </c>
      <c r="BR93" s="40">
        <f t="shared" si="163"/>
      </c>
      <c r="BS93" s="40">
        <f t="shared" si="182"/>
      </c>
      <c r="BT93" s="40">
        <f t="shared" si="120"/>
      </c>
      <c r="BU93" s="40">
        <f t="shared" si="164"/>
      </c>
      <c r="BV93" s="75">
        <f t="shared" si="165"/>
      </c>
      <c r="BW93" s="75">
        <f t="shared" si="166"/>
      </c>
      <c r="BX93" s="40">
        <f t="shared" si="145"/>
      </c>
      <c r="BY93" s="40">
        <f t="shared" si="146"/>
      </c>
      <c r="BZ93" s="61"/>
      <c r="CA93" s="73">
        <f t="shared" si="134"/>
      </c>
      <c r="CB93" s="84"/>
      <c r="CC93" s="73">
        <f t="shared" si="183"/>
      </c>
      <c r="CD93" s="73">
        <f t="shared" si="187"/>
      </c>
      <c r="CE93" s="73">
        <f t="shared" si="188"/>
      </c>
      <c r="CF93" s="73">
        <f t="shared" si="189"/>
      </c>
      <c r="CG93" s="73">
        <f t="shared" si="135"/>
      </c>
      <c r="CH93" s="73">
        <f t="shared" si="136"/>
      </c>
      <c r="CI93" s="73">
        <f t="shared" si="137"/>
      </c>
      <c r="CJ93" s="76">
        <f t="shared" si="167"/>
      </c>
      <c r="CK93" s="76">
        <f t="shared" si="184"/>
      </c>
      <c r="CL93" s="76">
        <f t="shared" si="185"/>
      </c>
      <c r="CM93" s="76">
        <f t="shared" si="186"/>
      </c>
      <c r="CN93" s="40">
        <f t="shared" si="147"/>
      </c>
      <c r="CO93" s="40">
        <f t="shared" si="190"/>
      </c>
      <c r="CP93" s="40">
        <f t="shared" si="191"/>
      </c>
      <c r="CQ93" s="40">
        <f t="shared" si="192"/>
      </c>
      <c r="CR93" s="40">
        <f t="shared" si="193"/>
      </c>
      <c r="CS93" s="40">
        <f aca="true" t="shared" si="194" ref="CS93:CS100">IF($B93="","",I93*IF($H$14="Sí",IF(OR($D93="S",$D93="RST"),$W93)+SUMIF(INICIO,$B93,I_tramoS),0))</f>
      </c>
      <c r="CT93" s="40">
        <f t="shared" si="168"/>
      </c>
      <c r="CU93" s="40">
        <f aca="true" t="shared" si="195" ref="CU93:CU100">IF(B93="","",CR93-CG93+1.25*CG93)</f>
      </c>
      <c r="CV93" s="40">
        <f aca="true" t="shared" si="196" ref="CV93:CV100">IF(B93="","",CS93-CH93+1.25*CH93)</f>
      </c>
      <c r="CW93" s="40">
        <f aca="true" t="shared" si="197" ref="CW93:CW100">IF(B93="","",CT93-CI93+1.25*CI93)</f>
      </c>
      <c r="CX93" s="40">
        <f aca="true" t="shared" si="198" ref="CX93:CX100">IF($B93="","",I93*IF($G$14="Sí",IF(OR($D93="R",$D93="RST"),$W93*F93)+SUMIF(INICIO,$B93,IR_cosfi),0))</f>
      </c>
      <c r="CY93" s="40">
        <f aca="true" t="shared" si="199" ref="CY93:CY100">IF($B93="","",I93*IF($H$14="Sí",IF(OR($D93="S",$D93="RST"),$W93*F93)+SUMIF(INICIO,$B93,IS_cosfi),0))</f>
      </c>
      <c r="CZ93" s="40">
        <f t="shared" si="98"/>
      </c>
      <c r="DA93" s="40">
        <f t="shared" si="138"/>
      </c>
    </row>
    <row r="94" spans="1:105" ht="12.75">
      <c r="A94" s="54"/>
      <c r="B94" s="54"/>
      <c r="C94" s="54"/>
      <c r="D94" s="61"/>
      <c r="E94" s="54"/>
      <c r="F94" s="54"/>
      <c r="G94" s="61"/>
      <c r="H94" s="64"/>
      <c r="I94" s="54"/>
      <c r="J94" s="61"/>
      <c r="K94" s="61"/>
      <c r="L94" s="54"/>
      <c r="M94" s="61"/>
      <c r="N94" s="61"/>
      <c r="O94" s="61"/>
      <c r="P94" s="61"/>
      <c r="Q94" s="120"/>
      <c r="R94" s="120"/>
      <c r="S94" s="120"/>
      <c r="T94" s="120"/>
      <c r="U94" s="72">
        <f t="shared" si="124"/>
      </c>
      <c r="V94" s="72">
        <f t="shared" si="125"/>
      </c>
      <c r="W94" s="73">
        <f t="shared" si="126"/>
      </c>
      <c r="X94" s="72">
        <f t="shared" si="127"/>
      </c>
      <c r="Y94" s="72">
        <f t="shared" si="128"/>
      </c>
      <c r="Z94" s="72">
        <f t="shared" si="129"/>
      </c>
      <c r="AA94" s="72">
        <f t="shared" si="130"/>
      </c>
      <c r="AB94" s="72">
        <f t="shared" si="131"/>
      </c>
      <c r="AC94" s="72">
        <f t="shared" si="132"/>
      </c>
      <c r="AD94" s="74">
        <f t="shared" si="139"/>
      </c>
      <c r="AE94" s="73">
        <f t="shared" si="169"/>
      </c>
      <c r="AF94" s="40">
        <f t="shared" si="148"/>
      </c>
      <c r="AG94" s="40">
        <f t="shared" si="104"/>
      </c>
      <c r="AH94" s="40">
        <f t="shared" si="149"/>
      </c>
      <c r="AI94" s="260">
        <f t="shared" si="150"/>
      </c>
      <c r="AJ94" s="40">
        <f t="shared" si="122"/>
      </c>
      <c r="AK94" s="40">
        <f t="shared" si="123"/>
      </c>
      <c r="AL94" s="261">
        <f t="shared" si="151"/>
      </c>
      <c r="AM94" s="40">
        <f t="shared" si="140"/>
      </c>
      <c r="AN94" s="40">
        <f t="shared" si="141"/>
      </c>
      <c r="AO94" s="40">
        <f t="shared" si="152"/>
      </c>
      <c r="AP94" s="40">
        <f t="shared" si="142"/>
      </c>
      <c r="AQ94" s="40">
        <f t="shared" si="143"/>
      </c>
      <c r="AR94" s="40">
        <f t="shared" si="153"/>
      </c>
      <c r="AS94" s="40">
        <f t="shared" si="154"/>
      </c>
      <c r="AT94" s="40">
        <f t="shared" si="155"/>
      </c>
      <c r="AU94" s="40">
        <f t="shared" si="156"/>
      </c>
      <c r="AV94" s="73">
        <f t="shared" si="170"/>
      </c>
      <c r="AW94" s="73">
        <f t="shared" si="171"/>
      </c>
      <c r="AX94" s="73">
        <f t="shared" si="172"/>
      </c>
      <c r="AY94" s="73">
        <f t="shared" si="173"/>
      </c>
      <c r="AZ94" s="73">
        <f t="shared" si="174"/>
      </c>
      <c r="BA94" s="73">
        <f t="shared" si="175"/>
      </c>
      <c r="BB94" s="73">
        <f t="shared" si="176"/>
      </c>
      <c r="BC94" s="73">
        <f t="shared" si="177"/>
      </c>
      <c r="BD94" s="73">
        <f t="shared" si="178"/>
      </c>
      <c r="BE94" s="73">
        <f t="shared" si="157"/>
      </c>
      <c r="BF94" s="73">
        <f t="shared" si="158"/>
      </c>
      <c r="BG94" s="73">
        <f t="shared" si="159"/>
      </c>
      <c r="BH94" s="73">
        <f t="shared" si="133"/>
      </c>
      <c r="BI94" s="73">
        <f t="shared" si="102"/>
      </c>
      <c r="BJ94" s="73">
        <f t="shared" si="103"/>
      </c>
      <c r="BK94" s="40">
        <f t="shared" si="179"/>
      </c>
      <c r="BL94" s="40">
        <f t="shared" si="180"/>
      </c>
      <c r="BM94" s="40">
        <f t="shared" si="181"/>
      </c>
      <c r="BN94" s="40">
        <f t="shared" si="160"/>
      </c>
      <c r="BO94" s="40">
        <f t="shared" si="144"/>
      </c>
      <c r="BP94" s="40">
        <f t="shared" si="161"/>
      </c>
      <c r="BQ94" s="40">
        <f t="shared" si="162"/>
      </c>
      <c r="BR94" s="40">
        <f t="shared" si="163"/>
      </c>
      <c r="BS94" s="40">
        <f t="shared" si="182"/>
      </c>
      <c r="BT94" s="40">
        <f t="shared" si="120"/>
      </c>
      <c r="BU94" s="40">
        <f t="shared" si="164"/>
      </c>
      <c r="BV94" s="75">
        <f t="shared" si="165"/>
      </c>
      <c r="BW94" s="75">
        <f t="shared" si="166"/>
      </c>
      <c r="BX94" s="40">
        <f t="shared" si="145"/>
      </c>
      <c r="BY94" s="40">
        <f t="shared" si="146"/>
      </c>
      <c r="BZ94" s="61"/>
      <c r="CA94" s="73">
        <f t="shared" si="134"/>
      </c>
      <c r="CB94" s="84"/>
      <c r="CC94" s="73">
        <f t="shared" si="183"/>
      </c>
      <c r="CD94" s="73">
        <f t="shared" si="187"/>
      </c>
      <c r="CE94" s="73">
        <f t="shared" si="188"/>
      </c>
      <c r="CF94" s="73">
        <f t="shared" si="189"/>
      </c>
      <c r="CG94" s="73">
        <f t="shared" si="135"/>
      </c>
      <c r="CH94" s="73">
        <f t="shared" si="136"/>
      </c>
      <c r="CI94" s="73">
        <f t="shared" si="137"/>
      </c>
      <c r="CJ94" s="76">
        <f t="shared" si="167"/>
      </c>
      <c r="CK94" s="76">
        <f t="shared" si="184"/>
      </c>
      <c r="CL94" s="76">
        <f t="shared" si="185"/>
      </c>
      <c r="CM94" s="76">
        <f t="shared" si="186"/>
      </c>
      <c r="CN94" s="40">
        <f t="shared" si="147"/>
      </c>
      <c r="CO94" s="40">
        <f t="shared" si="190"/>
      </c>
      <c r="CP94" s="40">
        <f t="shared" si="191"/>
      </c>
      <c r="CQ94" s="40">
        <f t="shared" si="192"/>
      </c>
      <c r="CR94" s="40">
        <f t="shared" si="193"/>
      </c>
      <c r="CS94" s="40">
        <f t="shared" si="194"/>
      </c>
      <c r="CT94" s="40">
        <f t="shared" si="168"/>
      </c>
      <c r="CU94" s="40">
        <f t="shared" si="195"/>
      </c>
      <c r="CV94" s="40">
        <f t="shared" si="196"/>
      </c>
      <c r="CW94" s="40">
        <f t="shared" si="197"/>
      </c>
      <c r="CX94" s="40">
        <f t="shared" si="198"/>
      </c>
      <c r="CY94" s="40">
        <f t="shared" si="199"/>
      </c>
      <c r="CZ94" s="40">
        <f t="shared" si="98"/>
      </c>
      <c r="DA94" s="40">
        <f t="shared" si="138"/>
      </c>
    </row>
    <row r="95" spans="1:105" ht="12.75">
      <c r="A95" s="54"/>
      <c r="B95" s="54"/>
      <c r="C95" s="54"/>
      <c r="D95" s="54"/>
      <c r="E95" s="54"/>
      <c r="F95" s="54"/>
      <c r="G95" s="61"/>
      <c r="H95" s="64"/>
      <c r="I95" s="54"/>
      <c r="J95" s="61"/>
      <c r="K95" s="61"/>
      <c r="L95" s="54"/>
      <c r="M95" s="61"/>
      <c r="N95" s="61"/>
      <c r="O95" s="61"/>
      <c r="P95" s="61"/>
      <c r="Q95" s="120"/>
      <c r="R95" s="120"/>
      <c r="S95" s="120"/>
      <c r="T95" s="120"/>
      <c r="U95" s="72">
        <f t="shared" si="124"/>
      </c>
      <c r="V95" s="72">
        <f t="shared" si="125"/>
      </c>
      <c r="W95" s="73">
        <f t="shared" si="126"/>
      </c>
      <c r="X95" s="72">
        <f t="shared" si="127"/>
      </c>
      <c r="Y95" s="72">
        <f t="shared" si="128"/>
      </c>
      <c r="Z95" s="72">
        <f t="shared" si="129"/>
      </c>
      <c r="AA95" s="72">
        <f t="shared" si="130"/>
      </c>
      <c r="AB95" s="72">
        <f t="shared" si="131"/>
      </c>
      <c r="AC95" s="72">
        <f t="shared" si="132"/>
      </c>
      <c r="AD95" s="74">
        <f t="shared" si="139"/>
      </c>
      <c r="AE95" s="73">
        <f t="shared" si="169"/>
      </c>
      <c r="AF95" s="40">
        <f t="shared" si="148"/>
      </c>
      <c r="AG95" s="40">
        <f t="shared" si="104"/>
      </c>
      <c r="AH95" s="40">
        <f t="shared" si="149"/>
      </c>
      <c r="AI95" s="260">
        <f t="shared" si="150"/>
      </c>
      <c r="AJ95" s="40">
        <f t="shared" si="122"/>
      </c>
      <c r="AK95" s="40">
        <f t="shared" si="123"/>
      </c>
      <c r="AL95" s="261">
        <f t="shared" si="151"/>
      </c>
      <c r="AM95" s="40">
        <f t="shared" si="140"/>
      </c>
      <c r="AN95" s="40">
        <f t="shared" si="141"/>
      </c>
      <c r="AO95" s="40">
        <f t="shared" si="152"/>
      </c>
      <c r="AP95" s="40">
        <f t="shared" si="142"/>
      </c>
      <c r="AQ95" s="40">
        <f t="shared" si="143"/>
      </c>
      <c r="AR95" s="40">
        <f t="shared" si="153"/>
      </c>
      <c r="AS95" s="40">
        <f t="shared" si="154"/>
      </c>
      <c r="AT95" s="40">
        <f t="shared" si="155"/>
      </c>
      <c r="AU95" s="40">
        <f t="shared" si="156"/>
      </c>
      <c r="AV95" s="73">
        <f t="shared" si="170"/>
      </c>
      <c r="AW95" s="73">
        <f t="shared" si="171"/>
      </c>
      <c r="AX95" s="73">
        <f t="shared" si="172"/>
      </c>
      <c r="AY95" s="73">
        <f t="shared" si="173"/>
      </c>
      <c r="AZ95" s="73">
        <f t="shared" si="174"/>
      </c>
      <c r="BA95" s="73">
        <f t="shared" si="175"/>
      </c>
      <c r="BB95" s="73">
        <f t="shared" si="176"/>
      </c>
      <c r="BC95" s="73">
        <f t="shared" si="177"/>
      </c>
      <c r="BD95" s="73">
        <f t="shared" si="178"/>
      </c>
      <c r="BE95" s="73">
        <f t="shared" si="157"/>
      </c>
      <c r="BF95" s="73">
        <f t="shared" si="158"/>
      </c>
      <c r="BG95" s="73">
        <f t="shared" si="159"/>
      </c>
      <c r="BH95" s="73">
        <f t="shared" si="133"/>
      </c>
      <c r="BI95" s="73">
        <f t="shared" si="102"/>
      </c>
      <c r="BJ95" s="73">
        <f t="shared" si="103"/>
      </c>
      <c r="BK95" s="40">
        <f t="shared" si="179"/>
      </c>
      <c r="BL95" s="40">
        <f t="shared" si="180"/>
      </c>
      <c r="BM95" s="40">
        <f t="shared" si="181"/>
      </c>
      <c r="BN95" s="40">
        <f t="shared" si="160"/>
      </c>
      <c r="BO95" s="40">
        <f t="shared" si="144"/>
      </c>
      <c r="BP95" s="40">
        <f t="shared" si="161"/>
      </c>
      <c r="BQ95" s="40">
        <f t="shared" si="162"/>
      </c>
      <c r="BR95" s="40">
        <f t="shared" si="163"/>
      </c>
      <c r="BS95" s="40">
        <f t="shared" si="182"/>
      </c>
      <c r="BT95" s="40">
        <f t="shared" si="120"/>
      </c>
      <c r="BU95" s="40">
        <f t="shared" si="164"/>
      </c>
      <c r="BV95" s="75">
        <f t="shared" si="165"/>
      </c>
      <c r="BW95" s="75">
        <f t="shared" si="166"/>
      </c>
      <c r="BX95" s="40">
        <f t="shared" si="145"/>
      </c>
      <c r="BY95" s="40">
        <f t="shared" si="146"/>
      </c>
      <c r="BZ95" s="61"/>
      <c r="CA95" s="73">
        <f t="shared" si="134"/>
      </c>
      <c r="CB95" s="84"/>
      <c r="CC95" s="73">
        <f t="shared" si="183"/>
      </c>
      <c r="CD95" s="73">
        <f t="shared" si="187"/>
      </c>
      <c r="CE95" s="73">
        <f t="shared" si="188"/>
      </c>
      <c r="CF95" s="73">
        <f t="shared" si="189"/>
      </c>
      <c r="CG95" s="73">
        <f t="shared" si="135"/>
      </c>
      <c r="CH95" s="73">
        <f t="shared" si="136"/>
      </c>
      <c r="CI95" s="73">
        <f t="shared" si="137"/>
      </c>
      <c r="CJ95" s="76">
        <f t="shared" si="167"/>
      </c>
      <c r="CK95" s="76">
        <f t="shared" si="184"/>
      </c>
      <c r="CL95" s="76">
        <f t="shared" si="185"/>
      </c>
      <c r="CM95" s="76">
        <f t="shared" si="186"/>
      </c>
      <c r="CN95" s="40">
        <f t="shared" si="147"/>
      </c>
      <c r="CO95" s="40">
        <f t="shared" si="190"/>
      </c>
      <c r="CP95" s="40">
        <f t="shared" si="191"/>
      </c>
      <c r="CQ95" s="40">
        <f t="shared" si="192"/>
      </c>
      <c r="CR95" s="40">
        <f t="shared" si="193"/>
      </c>
      <c r="CS95" s="40">
        <f t="shared" si="194"/>
      </c>
      <c r="CT95" s="40">
        <f t="shared" si="168"/>
      </c>
      <c r="CU95" s="40">
        <f t="shared" si="195"/>
      </c>
      <c r="CV95" s="40">
        <f t="shared" si="196"/>
      </c>
      <c r="CW95" s="40">
        <f t="shared" si="197"/>
      </c>
      <c r="CX95" s="40">
        <f t="shared" si="198"/>
      </c>
      <c r="CY95" s="40">
        <f t="shared" si="199"/>
      </c>
      <c r="CZ95" s="40">
        <f aca="true" t="shared" si="200" ref="CZ95:CZ100">IF($B95="","",I95*IF($I$14="Sí",IF(OR($D95="T",$D95="RST"),$W95*F95)+SUMIF(INICIO,$B95,IT_cosfi),0))</f>
      </c>
      <c r="DA95" s="40">
        <f t="shared" si="138"/>
      </c>
    </row>
    <row r="96" spans="1:105" ht="12.75">
      <c r="A96" s="54"/>
      <c r="B96" s="54"/>
      <c r="C96" s="54"/>
      <c r="D96" s="54"/>
      <c r="E96" s="54"/>
      <c r="F96" s="54"/>
      <c r="G96" s="61"/>
      <c r="H96" s="64"/>
      <c r="I96" s="54"/>
      <c r="J96" s="61"/>
      <c r="K96" s="61"/>
      <c r="L96" s="54"/>
      <c r="M96" s="61"/>
      <c r="N96" s="61"/>
      <c r="O96" s="61"/>
      <c r="P96" s="61"/>
      <c r="Q96" s="120"/>
      <c r="R96" s="120"/>
      <c r="S96" s="120"/>
      <c r="T96" s="120"/>
      <c r="U96" s="72">
        <f t="shared" si="124"/>
      </c>
      <c r="V96" s="72">
        <f t="shared" si="125"/>
      </c>
      <c r="W96" s="73">
        <f t="shared" si="126"/>
      </c>
      <c r="X96" s="72">
        <f t="shared" si="127"/>
      </c>
      <c r="Y96" s="72">
        <f t="shared" si="128"/>
      </c>
      <c r="Z96" s="72">
        <f t="shared" si="129"/>
      </c>
      <c r="AA96" s="72">
        <f t="shared" si="130"/>
      </c>
      <c r="AB96" s="72">
        <f t="shared" si="131"/>
      </c>
      <c r="AC96" s="72">
        <f t="shared" si="132"/>
      </c>
      <c r="AD96" s="74">
        <f t="shared" si="139"/>
      </c>
      <c r="AE96" s="73">
        <f t="shared" si="169"/>
      </c>
      <c r="AF96" s="40">
        <f t="shared" si="148"/>
      </c>
      <c r="AG96" s="40">
        <f t="shared" si="104"/>
      </c>
      <c r="AH96" s="40">
        <f t="shared" si="149"/>
      </c>
      <c r="AI96" s="260">
        <f t="shared" si="150"/>
      </c>
      <c r="AJ96" s="40">
        <f t="shared" si="122"/>
      </c>
      <c r="AK96" s="40">
        <f t="shared" si="123"/>
      </c>
      <c r="AL96" s="261">
        <f t="shared" si="151"/>
      </c>
      <c r="AM96" s="40">
        <f t="shared" si="140"/>
      </c>
      <c r="AN96" s="40">
        <f t="shared" si="141"/>
      </c>
      <c r="AO96" s="40">
        <f t="shared" si="152"/>
      </c>
      <c r="AP96" s="40">
        <f t="shared" si="142"/>
      </c>
      <c r="AQ96" s="40">
        <f t="shared" si="143"/>
      </c>
      <c r="AR96" s="40">
        <f t="shared" si="153"/>
      </c>
      <c r="AS96" s="40">
        <f t="shared" si="154"/>
      </c>
      <c r="AT96" s="40">
        <f t="shared" si="155"/>
      </c>
      <c r="AU96" s="40">
        <f t="shared" si="156"/>
      </c>
      <c r="AV96" s="73">
        <f t="shared" si="170"/>
      </c>
      <c r="AW96" s="73">
        <f t="shared" si="171"/>
      </c>
      <c r="AX96" s="73">
        <f t="shared" si="172"/>
      </c>
      <c r="AY96" s="73">
        <f t="shared" si="173"/>
      </c>
      <c r="AZ96" s="73">
        <f t="shared" si="174"/>
      </c>
      <c r="BA96" s="73">
        <f t="shared" si="175"/>
      </c>
      <c r="BB96" s="73">
        <f t="shared" si="176"/>
      </c>
      <c r="BC96" s="73">
        <f t="shared" si="177"/>
      </c>
      <c r="BD96" s="73">
        <f t="shared" si="178"/>
      </c>
      <c r="BE96" s="73">
        <f t="shared" si="157"/>
      </c>
      <c r="BF96" s="73">
        <f t="shared" si="158"/>
      </c>
      <c r="BG96" s="73">
        <f t="shared" si="159"/>
      </c>
      <c r="BH96" s="73">
        <f t="shared" si="133"/>
      </c>
      <c r="BI96" s="73">
        <f t="shared" si="102"/>
      </c>
      <c r="BJ96" s="73">
        <f t="shared" si="103"/>
      </c>
      <c r="BK96" s="40">
        <f t="shared" si="179"/>
      </c>
      <c r="BL96" s="40">
        <f t="shared" si="180"/>
      </c>
      <c r="BM96" s="40">
        <f t="shared" si="181"/>
      </c>
      <c r="BN96" s="40">
        <f t="shared" si="160"/>
      </c>
      <c r="BO96" s="40">
        <f t="shared" si="144"/>
      </c>
      <c r="BP96" s="40">
        <f t="shared" si="161"/>
      </c>
      <c r="BQ96" s="40">
        <f t="shared" si="162"/>
      </c>
      <c r="BR96" s="40">
        <f t="shared" si="163"/>
      </c>
      <c r="BS96" s="40">
        <f t="shared" si="182"/>
      </c>
      <c r="BT96" s="40">
        <f t="shared" si="120"/>
      </c>
      <c r="BU96" s="40">
        <f t="shared" si="164"/>
      </c>
      <c r="BV96" s="75">
        <f t="shared" si="165"/>
      </c>
      <c r="BW96" s="75">
        <f t="shared" si="166"/>
      </c>
      <c r="BX96" s="40">
        <f t="shared" si="145"/>
      </c>
      <c r="BY96" s="40">
        <f t="shared" si="146"/>
      </c>
      <c r="BZ96" s="61"/>
      <c r="CA96" s="73">
        <f t="shared" si="134"/>
      </c>
      <c r="CB96" s="84"/>
      <c r="CC96" s="73">
        <f t="shared" si="183"/>
      </c>
      <c r="CD96" s="73">
        <f t="shared" si="187"/>
      </c>
      <c r="CE96" s="73">
        <f t="shared" si="188"/>
      </c>
      <c r="CF96" s="73">
        <f t="shared" si="189"/>
      </c>
      <c r="CG96" s="73">
        <f t="shared" si="135"/>
      </c>
      <c r="CH96" s="73">
        <f t="shared" si="136"/>
      </c>
      <c r="CI96" s="73">
        <f t="shared" si="137"/>
      </c>
      <c r="CJ96" s="76">
        <f t="shared" si="167"/>
      </c>
      <c r="CK96" s="76">
        <f t="shared" si="184"/>
      </c>
      <c r="CL96" s="76">
        <f t="shared" si="185"/>
      </c>
      <c r="CM96" s="76">
        <f t="shared" si="186"/>
      </c>
      <c r="CN96" s="40">
        <f t="shared" si="147"/>
      </c>
      <c r="CO96" s="40">
        <f t="shared" si="190"/>
      </c>
      <c r="CP96" s="40">
        <f t="shared" si="191"/>
      </c>
      <c r="CQ96" s="40">
        <f t="shared" si="192"/>
      </c>
      <c r="CR96" s="40">
        <f t="shared" si="193"/>
      </c>
      <c r="CS96" s="40">
        <f t="shared" si="194"/>
      </c>
      <c r="CT96" s="40">
        <f t="shared" si="168"/>
      </c>
      <c r="CU96" s="40">
        <f t="shared" si="195"/>
      </c>
      <c r="CV96" s="40">
        <f t="shared" si="196"/>
      </c>
      <c r="CW96" s="40">
        <f t="shared" si="197"/>
      </c>
      <c r="CX96" s="40">
        <f t="shared" si="198"/>
      </c>
      <c r="CY96" s="40">
        <f t="shared" si="199"/>
      </c>
      <c r="CZ96" s="40">
        <f t="shared" si="200"/>
      </c>
      <c r="DA96" s="40">
        <f t="shared" si="138"/>
      </c>
    </row>
    <row r="97" spans="1:105" ht="12.75">
      <c r="A97" s="54"/>
      <c r="B97" s="54"/>
      <c r="C97" s="54"/>
      <c r="D97" s="54"/>
      <c r="E97" s="54"/>
      <c r="F97" s="54"/>
      <c r="G97" s="61"/>
      <c r="H97" s="64"/>
      <c r="I97" s="54"/>
      <c r="J97" s="61"/>
      <c r="K97" s="61"/>
      <c r="L97" s="54"/>
      <c r="M97" s="61"/>
      <c r="N97" s="61"/>
      <c r="O97" s="54"/>
      <c r="P97" s="61"/>
      <c r="Q97" s="120"/>
      <c r="R97" s="120"/>
      <c r="S97" s="120"/>
      <c r="T97" s="120"/>
      <c r="U97" s="72">
        <f t="shared" si="124"/>
      </c>
      <c r="V97" s="72">
        <f t="shared" si="125"/>
      </c>
      <c r="W97" s="73">
        <f t="shared" si="126"/>
      </c>
      <c r="X97" s="72">
        <f t="shared" si="127"/>
      </c>
      <c r="Y97" s="72">
        <f t="shared" si="128"/>
      </c>
      <c r="Z97" s="72">
        <f t="shared" si="129"/>
      </c>
      <c r="AA97" s="72">
        <f t="shared" si="130"/>
      </c>
      <c r="AB97" s="72">
        <f t="shared" si="131"/>
      </c>
      <c r="AC97" s="72">
        <f t="shared" si="132"/>
      </c>
      <c r="AD97" s="74">
        <f t="shared" si="139"/>
      </c>
      <c r="AE97" s="73">
        <f t="shared" si="169"/>
      </c>
      <c r="AF97" s="40">
        <f t="shared" si="148"/>
      </c>
      <c r="AG97" s="40">
        <f t="shared" si="104"/>
      </c>
      <c r="AH97" s="40">
        <f t="shared" si="149"/>
      </c>
      <c r="AI97" s="260">
        <f t="shared" si="150"/>
      </c>
      <c r="AJ97" s="40">
        <f t="shared" si="122"/>
      </c>
      <c r="AK97" s="40">
        <f t="shared" si="123"/>
      </c>
      <c r="AL97" s="261">
        <f t="shared" si="151"/>
      </c>
      <c r="AM97" s="40">
        <f t="shared" si="140"/>
      </c>
      <c r="AN97" s="40">
        <f t="shared" si="141"/>
      </c>
      <c r="AO97" s="40">
        <f t="shared" si="152"/>
      </c>
      <c r="AP97" s="40">
        <f t="shared" si="142"/>
      </c>
      <c r="AQ97" s="40">
        <f t="shared" si="143"/>
      </c>
      <c r="AR97" s="40">
        <f t="shared" si="153"/>
      </c>
      <c r="AS97" s="40">
        <f t="shared" si="154"/>
      </c>
      <c r="AT97" s="40">
        <f t="shared" si="155"/>
      </c>
      <c r="AU97" s="40">
        <f t="shared" si="156"/>
      </c>
      <c r="AV97" s="73">
        <f t="shared" si="170"/>
      </c>
      <c r="AW97" s="73">
        <f t="shared" si="171"/>
      </c>
      <c r="AX97" s="73">
        <f t="shared" si="172"/>
      </c>
      <c r="AY97" s="73">
        <f t="shared" si="173"/>
      </c>
      <c r="AZ97" s="73">
        <f t="shared" si="174"/>
      </c>
      <c r="BA97" s="73">
        <f t="shared" si="175"/>
      </c>
      <c r="BB97" s="73">
        <f t="shared" si="176"/>
      </c>
      <c r="BC97" s="73">
        <f t="shared" si="177"/>
      </c>
      <c r="BD97" s="73">
        <f t="shared" si="178"/>
      </c>
      <c r="BE97" s="73">
        <f t="shared" si="157"/>
      </c>
      <c r="BF97" s="73">
        <f t="shared" si="158"/>
      </c>
      <c r="BG97" s="73">
        <f t="shared" si="159"/>
      </c>
      <c r="BH97" s="73">
        <f t="shared" si="133"/>
      </c>
      <c r="BI97" s="73">
        <f t="shared" si="102"/>
      </c>
      <c r="BJ97" s="73">
        <f t="shared" si="103"/>
      </c>
      <c r="BK97" s="40">
        <f t="shared" si="179"/>
      </c>
      <c r="BL97" s="40">
        <f t="shared" si="180"/>
      </c>
      <c r="BM97" s="40">
        <f t="shared" si="181"/>
      </c>
      <c r="BN97" s="40">
        <f t="shared" si="160"/>
      </c>
      <c r="BO97" s="40">
        <f t="shared" si="144"/>
      </c>
      <c r="BP97" s="40">
        <f t="shared" si="161"/>
      </c>
      <c r="BQ97" s="40">
        <f t="shared" si="162"/>
      </c>
      <c r="BR97" s="40">
        <f t="shared" si="163"/>
      </c>
      <c r="BS97" s="40">
        <f t="shared" si="182"/>
      </c>
      <c r="BT97" s="40">
        <f t="shared" si="120"/>
      </c>
      <c r="BU97" s="40">
        <f t="shared" si="164"/>
      </c>
      <c r="BV97" s="75">
        <f t="shared" si="165"/>
      </c>
      <c r="BW97" s="75">
        <f t="shared" si="166"/>
      </c>
      <c r="BX97" s="40">
        <f t="shared" si="145"/>
      </c>
      <c r="BY97" s="40">
        <f t="shared" si="146"/>
      </c>
      <c r="BZ97" s="61"/>
      <c r="CA97" s="73">
        <f t="shared" si="134"/>
      </c>
      <c r="CB97" s="84"/>
      <c r="CC97" s="73">
        <f t="shared" si="183"/>
      </c>
      <c r="CD97" s="73">
        <f t="shared" si="187"/>
      </c>
      <c r="CE97" s="73">
        <f t="shared" si="188"/>
      </c>
      <c r="CF97" s="73">
        <f t="shared" si="189"/>
      </c>
      <c r="CG97" s="73">
        <f t="shared" si="135"/>
      </c>
      <c r="CH97" s="73">
        <f t="shared" si="136"/>
      </c>
      <c r="CI97" s="73">
        <f t="shared" si="137"/>
      </c>
      <c r="CJ97" s="76">
        <f t="shared" si="167"/>
      </c>
      <c r="CK97" s="76">
        <f t="shared" si="184"/>
      </c>
      <c r="CL97" s="76">
        <f t="shared" si="185"/>
      </c>
      <c r="CM97" s="76">
        <f t="shared" si="186"/>
      </c>
      <c r="CN97" s="40">
        <f t="shared" si="147"/>
      </c>
      <c r="CO97" s="40">
        <f t="shared" si="190"/>
      </c>
      <c r="CP97" s="40">
        <f t="shared" si="191"/>
      </c>
      <c r="CQ97" s="40">
        <f t="shared" si="192"/>
      </c>
      <c r="CR97" s="40">
        <f t="shared" si="193"/>
      </c>
      <c r="CS97" s="40">
        <f t="shared" si="194"/>
      </c>
      <c r="CT97" s="40">
        <f t="shared" si="168"/>
      </c>
      <c r="CU97" s="40">
        <f t="shared" si="195"/>
      </c>
      <c r="CV97" s="40">
        <f t="shared" si="196"/>
      </c>
      <c r="CW97" s="40">
        <f t="shared" si="197"/>
      </c>
      <c r="CX97" s="40">
        <f t="shared" si="198"/>
      </c>
      <c r="CY97" s="40">
        <f t="shared" si="199"/>
      </c>
      <c r="CZ97" s="40">
        <f t="shared" si="200"/>
      </c>
      <c r="DA97" s="40">
        <f t="shared" si="138"/>
      </c>
    </row>
    <row r="98" spans="1:105" ht="12.75">
      <c r="A98" s="54"/>
      <c r="B98" s="54"/>
      <c r="C98" s="54"/>
      <c r="D98" s="54"/>
      <c r="E98" s="54"/>
      <c r="F98" s="54"/>
      <c r="G98" s="61"/>
      <c r="H98" s="64"/>
      <c r="I98" s="54"/>
      <c r="J98" s="61"/>
      <c r="K98" s="61"/>
      <c r="L98" s="54"/>
      <c r="M98" s="61"/>
      <c r="N98" s="61"/>
      <c r="O98" s="54"/>
      <c r="P98" s="61"/>
      <c r="Q98" s="120"/>
      <c r="R98" s="120"/>
      <c r="S98" s="120"/>
      <c r="T98" s="120"/>
      <c r="U98" s="72">
        <f t="shared" si="124"/>
      </c>
      <c r="V98" s="72">
        <f t="shared" si="125"/>
      </c>
      <c r="W98" s="73">
        <f t="shared" si="126"/>
      </c>
      <c r="X98" s="72">
        <f t="shared" si="127"/>
      </c>
      <c r="Y98" s="72">
        <f t="shared" si="128"/>
      </c>
      <c r="Z98" s="72">
        <f t="shared" si="129"/>
      </c>
      <c r="AA98" s="72">
        <f t="shared" si="130"/>
      </c>
      <c r="AB98" s="72">
        <f t="shared" si="131"/>
      </c>
      <c r="AC98" s="72">
        <f t="shared" si="132"/>
      </c>
      <c r="AD98" s="74">
        <f t="shared" si="139"/>
      </c>
      <c r="AE98" s="73">
        <f t="shared" si="169"/>
      </c>
      <c r="AF98" s="40">
        <f t="shared" si="148"/>
      </c>
      <c r="AG98" s="40">
        <f t="shared" si="104"/>
      </c>
      <c r="AH98" s="40">
        <f t="shared" si="149"/>
      </c>
      <c r="AI98" s="260">
        <f t="shared" si="150"/>
      </c>
      <c r="AJ98" s="40">
        <f t="shared" si="122"/>
      </c>
      <c r="AK98" s="40">
        <f t="shared" si="123"/>
      </c>
      <c r="AL98" s="261">
        <f t="shared" si="151"/>
      </c>
      <c r="AM98" s="40">
        <f t="shared" si="140"/>
      </c>
      <c r="AN98" s="40">
        <f t="shared" si="141"/>
      </c>
      <c r="AO98" s="40">
        <f t="shared" si="152"/>
      </c>
      <c r="AP98" s="40">
        <f t="shared" si="142"/>
      </c>
      <c r="AQ98" s="40">
        <f t="shared" si="143"/>
      </c>
      <c r="AR98" s="40">
        <f t="shared" si="153"/>
      </c>
      <c r="AS98" s="40">
        <f t="shared" si="154"/>
      </c>
      <c r="AT98" s="40">
        <f t="shared" si="155"/>
      </c>
      <c r="AU98" s="40">
        <f t="shared" si="156"/>
      </c>
      <c r="AV98" s="73">
        <f t="shared" si="170"/>
      </c>
      <c r="AW98" s="73">
        <f t="shared" si="171"/>
      </c>
      <c r="AX98" s="73">
        <f t="shared" si="172"/>
      </c>
      <c r="AY98" s="73">
        <f t="shared" si="173"/>
      </c>
      <c r="AZ98" s="73">
        <f t="shared" si="174"/>
      </c>
      <c r="BA98" s="73">
        <f t="shared" si="175"/>
      </c>
      <c r="BB98" s="73">
        <f t="shared" si="176"/>
      </c>
      <c r="BC98" s="73">
        <f t="shared" si="177"/>
      </c>
      <c r="BD98" s="73">
        <f t="shared" si="178"/>
      </c>
      <c r="BE98" s="73">
        <f t="shared" si="157"/>
      </c>
      <c r="BF98" s="73">
        <f t="shared" si="158"/>
      </c>
      <c r="BG98" s="73">
        <f t="shared" si="159"/>
      </c>
      <c r="BH98" s="73">
        <f t="shared" si="133"/>
      </c>
      <c r="BI98" s="73">
        <f t="shared" si="102"/>
      </c>
      <c r="BJ98" s="73">
        <f t="shared" si="103"/>
      </c>
      <c r="BK98" s="40">
        <f t="shared" si="179"/>
      </c>
      <c r="BL98" s="40">
        <f t="shared" si="180"/>
      </c>
      <c r="BM98" s="40">
        <f t="shared" si="181"/>
      </c>
      <c r="BN98" s="40">
        <f t="shared" si="160"/>
      </c>
      <c r="BO98" s="40">
        <f t="shared" si="144"/>
      </c>
      <c r="BP98" s="40">
        <f t="shared" si="161"/>
      </c>
      <c r="BQ98" s="40">
        <f t="shared" si="162"/>
      </c>
      <c r="BR98" s="40">
        <f t="shared" si="163"/>
      </c>
      <c r="BS98" s="40">
        <f t="shared" si="182"/>
      </c>
      <c r="BT98" s="40">
        <f t="shared" si="120"/>
      </c>
      <c r="BU98" s="40">
        <f t="shared" si="164"/>
      </c>
      <c r="BV98" s="75">
        <f t="shared" si="165"/>
      </c>
      <c r="BW98" s="75">
        <f t="shared" si="166"/>
      </c>
      <c r="BX98" s="40">
        <f t="shared" si="145"/>
      </c>
      <c r="BY98" s="40">
        <f t="shared" si="146"/>
      </c>
      <c r="BZ98" s="61"/>
      <c r="CA98" s="73">
        <f t="shared" si="134"/>
      </c>
      <c r="CB98" s="84"/>
      <c r="CC98" s="73">
        <f t="shared" si="183"/>
      </c>
      <c r="CD98" s="73">
        <f t="shared" si="187"/>
      </c>
      <c r="CE98" s="73">
        <f t="shared" si="188"/>
      </c>
      <c r="CF98" s="73">
        <f t="shared" si="189"/>
      </c>
      <c r="CG98" s="73">
        <f t="shared" si="135"/>
      </c>
      <c r="CH98" s="73">
        <f t="shared" si="136"/>
      </c>
      <c r="CI98" s="73">
        <f t="shared" si="137"/>
      </c>
      <c r="CJ98" s="76">
        <f t="shared" si="167"/>
      </c>
      <c r="CK98" s="76">
        <f t="shared" si="184"/>
      </c>
      <c r="CL98" s="76">
        <f t="shared" si="185"/>
      </c>
      <c r="CM98" s="76">
        <f t="shared" si="186"/>
      </c>
      <c r="CN98" s="40">
        <f t="shared" si="147"/>
      </c>
      <c r="CO98" s="40">
        <f t="shared" si="190"/>
      </c>
      <c r="CP98" s="40">
        <f t="shared" si="191"/>
      </c>
      <c r="CQ98" s="40">
        <f t="shared" si="192"/>
      </c>
      <c r="CR98" s="40">
        <f t="shared" si="193"/>
      </c>
      <c r="CS98" s="40">
        <f t="shared" si="194"/>
      </c>
      <c r="CT98" s="40">
        <f t="shared" si="168"/>
      </c>
      <c r="CU98" s="40">
        <f t="shared" si="195"/>
      </c>
      <c r="CV98" s="40">
        <f t="shared" si="196"/>
      </c>
      <c r="CW98" s="40">
        <f t="shared" si="197"/>
      </c>
      <c r="CX98" s="40">
        <f t="shared" si="198"/>
      </c>
      <c r="CY98" s="40">
        <f t="shared" si="199"/>
      </c>
      <c r="CZ98" s="40">
        <f t="shared" si="200"/>
      </c>
      <c r="DA98" s="40">
        <f t="shared" si="138"/>
      </c>
    </row>
    <row r="99" spans="1:105" ht="12.75">
      <c r="A99" s="54"/>
      <c r="B99" s="54"/>
      <c r="C99" s="54"/>
      <c r="D99" s="54"/>
      <c r="E99" s="54"/>
      <c r="F99" s="54"/>
      <c r="G99" s="61"/>
      <c r="H99" s="64"/>
      <c r="I99" s="54"/>
      <c r="J99" s="61"/>
      <c r="K99" s="61"/>
      <c r="L99" s="54"/>
      <c r="M99" s="61"/>
      <c r="N99" s="61"/>
      <c r="O99" s="54"/>
      <c r="P99" s="61"/>
      <c r="Q99" s="120"/>
      <c r="R99" s="120"/>
      <c r="S99" s="120"/>
      <c r="T99" s="120"/>
      <c r="U99" s="72">
        <f t="shared" si="124"/>
      </c>
      <c r="V99" s="72">
        <f t="shared" si="125"/>
      </c>
      <c r="W99" s="73">
        <f t="shared" si="126"/>
      </c>
      <c r="X99" s="72">
        <f t="shared" si="127"/>
      </c>
      <c r="Y99" s="72">
        <f t="shared" si="128"/>
      </c>
      <c r="Z99" s="72">
        <f t="shared" si="129"/>
      </c>
      <c r="AA99" s="72">
        <f t="shared" si="130"/>
      </c>
      <c r="AB99" s="72">
        <f t="shared" si="131"/>
      </c>
      <c r="AC99" s="72">
        <f t="shared" si="132"/>
      </c>
      <c r="AD99" s="74">
        <f t="shared" si="139"/>
      </c>
      <c r="AE99" s="73">
        <f t="shared" si="169"/>
      </c>
      <c r="AF99" s="40">
        <f t="shared" si="148"/>
      </c>
      <c r="AG99" s="40">
        <f t="shared" si="104"/>
      </c>
      <c r="AH99" s="40">
        <f t="shared" si="149"/>
      </c>
      <c r="AI99" s="260">
        <f t="shared" si="150"/>
      </c>
      <c r="AJ99" s="40">
        <f t="shared" si="122"/>
      </c>
      <c r="AK99" s="40">
        <f t="shared" si="123"/>
      </c>
      <c r="AL99" s="261">
        <f t="shared" si="151"/>
      </c>
      <c r="AM99" s="40">
        <f t="shared" si="140"/>
      </c>
      <c r="AN99" s="40">
        <f t="shared" si="141"/>
      </c>
      <c r="AO99" s="40">
        <f t="shared" si="152"/>
      </c>
      <c r="AP99" s="40">
        <f t="shared" si="142"/>
      </c>
      <c r="AQ99" s="40">
        <f t="shared" si="143"/>
      </c>
      <c r="AR99" s="40">
        <f t="shared" si="153"/>
      </c>
      <c r="AS99" s="40">
        <f t="shared" si="154"/>
      </c>
      <c r="AT99" s="40">
        <f t="shared" si="155"/>
      </c>
      <c r="AU99" s="40">
        <f t="shared" si="156"/>
      </c>
      <c r="AV99" s="73">
        <f t="shared" si="170"/>
      </c>
      <c r="AW99" s="73">
        <f t="shared" si="171"/>
      </c>
      <c r="AX99" s="73">
        <f t="shared" si="172"/>
      </c>
      <c r="AY99" s="73">
        <f t="shared" si="173"/>
      </c>
      <c r="AZ99" s="73">
        <f t="shared" si="174"/>
      </c>
      <c r="BA99" s="73">
        <f t="shared" si="175"/>
      </c>
      <c r="BB99" s="73">
        <f t="shared" si="176"/>
      </c>
      <c r="BC99" s="73">
        <f t="shared" si="177"/>
      </c>
      <c r="BD99" s="73">
        <f t="shared" si="178"/>
      </c>
      <c r="BE99" s="73">
        <f t="shared" si="157"/>
      </c>
      <c r="BF99" s="73">
        <f t="shared" si="158"/>
      </c>
      <c r="BG99" s="73">
        <f t="shared" si="159"/>
      </c>
      <c r="BH99" s="73">
        <f t="shared" si="133"/>
      </c>
      <c r="BI99" s="73">
        <f>IF(B99="","",100*($D$6-BC99)/$D$6)</f>
      </c>
      <c r="BJ99" s="73">
        <f>IF(B99="","",100*($D$6-BD99)/$D$6)</f>
      </c>
      <c r="BK99" s="40">
        <f t="shared" si="179"/>
      </c>
      <c r="BL99" s="40">
        <f t="shared" si="180"/>
      </c>
      <c r="BM99" s="40">
        <f t="shared" si="181"/>
      </c>
      <c r="BN99" s="40">
        <f t="shared" si="160"/>
      </c>
      <c r="BO99" s="40">
        <f t="shared" si="144"/>
      </c>
      <c r="BP99" s="40">
        <f t="shared" si="161"/>
      </c>
      <c r="BQ99" s="40">
        <f t="shared" si="162"/>
      </c>
      <c r="BR99" s="40">
        <f t="shared" si="163"/>
      </c>
      <c r="BS99" s="40">
        <f t="shared" si="182"/>
      </c>
      <c r="BT99" s="40">
        <f t="shared" si="120"/>
      </c>
      <c r="BU99" s="40">
        <f t="shared" si="164"/>
      </c>
      <c r="BV99" s="75">
        <f t="shared" si="165"/>
      </c>
      <c r="BW99" s="75">
        <f t="shared" si="166"/>
      </c>
      <c r="BX99" s="40">
        <f t="shared" si="145"/>
      </c>
      <c r="BY99" s="40">
        <f t="shared" si="146"/>
      </c>
      <c r="BZ99" s="61"/>
      <c r="CA99" s="73">
        <f t="shared" si="134"/>
      </c>
      <c r="CB99" s="84"/>
      <c r="CC99" s="73">
        <f t="shared" si="183"/>
      </c>
      <c r="CD99" s="73">
        <f t="shared" si="187"/>
      </c>
      <c r="CE99" s="73">
        <f t="shared" si="188"/>
      </c>
      <c r="CF99" s="73">
        <f t="shared" si="189"/>
      </c>
      <c r="CG99" s="73">
        <f t="shared" si="135"/>
      </c>
      <c r="CH99" s="73">
        <f t="shared" si="136"/>
      </c>
      <c r="CI99" s="73">
        <f t="shared" si="137"/>
      </c>
      <c r="CJ99" s="76">
        <f t="shared" si="167"/>
      </c>
      <c r="CK99" s="76">
        <f t="shared" si="184"/>
      </c>
      <c r="CL99" s="76">
        <f t="shared" si="185"/>
      </c>
      <c r="CM99" s="76">
        <f t="shared" si="186"/>
      </c>
      <c r="CN99" s="40">
        <f t="shared" si="147"/>
      </c>
      <c r="CO99" s="40">
        <f t="shared" si="190"/>
      </c>
      <c r="CP99" s="40">
        <f t="shared" si="191"/>
      </c>
      <c r="CQ99" s="40">
        <f t="shared" si="192"/>
      </c>
      <c r="CR99" s="40">
        <f t="shared" si="193"/>
      </c>
      <c r="CS99" s="40">
        <f t="shared" si="194"/>
      </c>
      <c r="CT99" s="40">
        <f t="shared" si="168"/>
      </c>
      <c r="CU99" s="40">
        <f t="shared" si="195"/>
      </c>
      <c r="CV99" s="40">
        <f t="shared" si="196"/>
      </c>
      <c r="CW99" s="40">
        <f t="shared" si="197"/>
      </c>
      <c r="CX99" s="40">
        <f t="shared" si="198"/>
      </c>
      <c r="CY99" s="40">
        <f t="shared" si="199"/>
      </c>
      <c r="CZ99" s="40">
        <f t="shared" si="200"/>
      </c>
      <c r="DA99" s="40">
        <f t="shared" si="138"/>
      </c>
    </row>
    <row r="100" spans="1:105" ht="12.75">
      <c r="A100" s="62"/>
      <c r="B100" s="62"/>
      <c r="C100" s="62"/>
      <c r="D100" s="62"/>
      <c r="E100" s="62"/>
      <c r="F100" s="62"/>
      <c r="G100" s="63"/>
      <c r="H100" s="65"/>
      <c r="I100" s="62"/>
      <c r="J100" s="63"/>
      <c r="K100" s="63"/>
      <c r="L100" s="62"/>
      <c r="M100" s="63"/>
      <c r="N100" s="63"/>
      <c r="O100" s="62"/>
      <c r="P100" s="63"/>
      <c r="Q100" s="138"/>
      <c r="R100" s="138"/>
      <c r="S100" s="138"/>
      <c r="T100" s="138"/>
      <c r="U100" s="77">
        <f t="shared" si="124"/>
      </c>
      <c r="V100" s="77">
        <f t="shared" si="125"/>
      </c>
      <c r="W100" s="78">
        <f t="shared" si="126"/>
      </c>
      <c r="X100" s="77">
        <f t="shared" si="127"/>
      </c>
      <c r="Y100" s="77">
        <f t="shared" si="128"/>
      </c>
      <c r="Z100" s="77">
        <f t="shared" si="129"/>
      </c>
      <c r="AA100" s="77">
        <f t="shared" si="130"/>
      </c>
      <c r="AB100" s="77">
        <f t="shared" si="131"/>
      </c>
      <c r="AC100" s="77">
        <f t="shared" si="132"/>
      </c>
      <c r="AD100" s="56">
        <f t="shared" si="139"/>
      </c>
      <c r="AE100" s="78">
        <f t="shared" si="169"/>
      </c>
      <c r="AF100" s="41">
        <f t="shared" si="148"/>
      </c>
      <c r="AG100" s="41">
        <f t="shared" si="104"/>
      </c>
      <c r="AH100" s="41">
        <f t="shared" si="149"/>
      </c>
      <c r="AI100" s="264">
        <f t="shared" si="150"/>
      </c>
      <c r="AJ100" s="41">
        <f t="shared" si="122"/>
      </c>
      <c r="AK100" s="41">
        <f t="shared" si="123"/>
      </c>
      <c r="AL100" s="265">
        <f t="shared" si="151"/>
      </c>
      <c r="AM100" s="41">
        <f t="shared" si="140"/>
      </c>
      <c r="AN100" s="41">
        <f t="shared" si="141"/>
      </c>
      <c r="AO100" s="41">
        <f t="shared" si="152"/>
      </c>
      <c r="AP100" s="41">
        <f t="shared" si="142"/>
      </c>
      <c r="AQ100" s="41">
        <f t="shared" si="143"/>
      </c>
      <c r="AR100" s="41">
        <f t="shared" si="153"/>
      </c>
      <c r="AS100" s="41">
        <f t="shared" si="154"/>
      </c>
      <c r="AT100" s="41">
        <f t="shared" si="155"/>
      </c>
      <c r="AU100" s="41">
        <f t="shared" si="156"/>
      </c>
      <c r="AV100" s="78">
        <f t="shared" si="170"/>
      </c>
      <c r="AW100" s="78">
        <f t="shared" si="171"/>
      </c>
      <c r="AX100" s="78">
        <f t="shared" si="172"/>
      </c>
      <c r="AY100" s="78">
        <f t="shared" si="173"/>
      </c>
      <c r="AZ100" s="78">
        <f t="shared" si="174"/>
      </c>
      <c r="BA100" s="78">
        <f t="shared" si="175"/>
      </c>
      <c r="BB100" s="78">
        <f t="shared" si="176"/>
      </c>
      <c r="BC100" s="78">
        <f t="shared" si="177"/>
      </c>
      <c r="BD100" s="78">
        <f t="shared" si="178"/>
      </c>
      <c r="BE100" s="78">
        <f t="shared" si="157"/>
      </c>
      <c r="BF100" s="78">
        <f t="shared" si="158"/>
      </c>
      <c r="BG100" s="78">
        <f t="shared" si="159"/>
      </c>
      <c r="BH100" s="78">
        <f t="shared" si="133"/>
      </c>
      <c r="BI100" s="78">
        <f>IF(B100="","",100*($D$6-BC100)/$D$6)</f>
      </c>
      <c r="BJ100" s="78">
        <f>IF(B100="","",100*($D$6-BD100)/$D$6)</f>
      </c>
      <c r="BK100" s="41">
        <f t="shared" si="179"/>
      </c>
      <c r="BL100" s="41">
        <f t="shared" si="180"/>
      </c>
      <c r="BM100" s="41">
        <f t="shared" si="181"/>
      </c>
      <c r="BN100" s="41">
        <f t="shared" si="160"/>
      </c>
      <c r="BO100" s="41">
        <f t="shared" si="144"/>
      </c>
      <c r="BP100" s="41">
        <f t="shared" si="161"/>
      </c>
      <c r="BQ100" s="41">
        <f t="shared" si="162"/>
      </c>
      <c r="BR100" s="41">
        <f t="shared" si="163"/>
      </c>
      <c r="BS100" s="41">
        <f t="shared" si="182"/>
      </c>
      <c r="BT100" s="41">
        <f t="shared" si="120"/>
      </c>
      <c r="BU100" s="41">
        <f t="shared" si="164"/>
      </c>
      <c r="BV100" s="79">
        <f t="shared" si="165"/>
      </c>
      <c r="BW100" s="79">
        <f t="shared" si="166"/>
      </c>
      <c r="BX100" s="41">
        <f t="shared" si="145"/>
      </c>
      <c r="BY100" s="41">
        <f t="shared" si="146"/>
      </c>
      <c r="BZ100" s="63"/>
      <c r="CA100" s="78">
        <f t="shared" si="134"/>
      </c>
      <c r="CB100" s="84"/>
      <c r="CC100" s="78">
        <f t="shared" si="183"/>
      </c>
      <c r="CD100" s="78">
        <f t="shared" si="187"/>
      </c>
      <c r="CE100" s="78">
        <f t="shared" si="188"/>
      </c>
      <c r="CF100" s="78">
        <f t="shared" si="189"/>
      </c>
      <c r="CG100" s="78">
        <f t="shared" si="135"/>
      </c>
      <c r="CH100" s="78">
        <f t="shared" si="136"/>
      </c>
      <c r="CI100" s="78">
        <f t="shared" si="137"/>
      </c>
      <c r="CJ100" s="80">
        <f t="shared" si="167"/>
      </c>
      <c r="CK100" s="80">
        <f t="shared" si="184"/>
      </c>
      <c r="CL100" s="80">
        <f t="shared" si="185"/>
      </c>
      <c r="CM100" s="80">
        <f t="shared" si="186"/>
      </c>
      <c r="CN100" s="41">
        <f t="shared" si="147"/>
      </c>
      <c r="CO100" s="41">
        <f t="shared" si="190"/>
      </c>
      <c r="CP100" s="41">
        <f t="shared" si="191"/>
      </c>
      <c r="CQ100" s="41">
        <f t="shared" si="192"/>
      </c>
      <c r="CR100" s="41">
        <f t="shared" si="193"/>
      </c>
      <c r="CS100" s="41">
        <f t="shared" si="194"/>
      </c>
      <c r="CT100" s="41">
        <f t="shared" si="168"/>
      </c>
      <c r="CU100" s="41">
        <f t="shared" si="195"/>
      </c>
      <c r="CV100" s="41">
        <f t="shared" si="196"/>
      </c>
      <c r="CW100" s="41">
        <f t="shared" si="197"/>
      </c>
      <c r="CX100" s="41">
        <f t="shared" si="198"/>
      </c>
      <c r="CY100" s="41">
        <f t="shared" si="199"/>
      </c>
      <c r="CZ100" s="41">
        <f t="shared" si="200"/>
      </c>
      <c r="DA100" s="41">
        <f t="shared" si="138"/>
      </c>
    </row>
    <row r="101" spans="1:93" ht="12.75">
      <c r="A101" s="1" t="s">
        <v>190</v>
      </c>
      <c r="B101" s="1"/>
      <c r="C101" s="1"/>
      <c r="D101" s="1"/>
      <c r="E101" s="1"/>
      <c r="F101" s="1"/>
      <c r="G101" s="1"/>
      <c r="H101" s="1"/>
      <c r="U101" s="1">
        <f>IF(OR(J101="Cu-PVC",J101="Cu-EPR,XLPE"),IF(K101="","",0.018*C101/K101),IF(K101="","",0.029*C101/K101))</f>
      </c>
      <c r="V101" s="1">
        <f>IF(OR(M101="Cu-PVC",M101="Cu-EPR,XLPE"),IF(N101="","",1.02*0.018*C101/N101),IF(M101="Alm",IF(N101="","",1.02*0.032*C101/N101),IF(N101="","",1.02*0.029*C101/N101)))</f>
      </c>
      <c r="BE101" s="23">
        <f t="shared" si="157"/>
      </c>
      <c r="BF101" s="23">
        <f t="shared" si="158"/>
      </c>
      <c r="BG101" s="23">
        <f t="shared" si="159"/>
      </c>
      <c r="BH101" s="23"/>
      <c r="BI101" s="23"/>
      <c r="BJ101" s="23"/>
      <c r="BY101" s="25">
        <f t="shared" si="146"/>
      </c>
      <c r="CO101" s="25"/>
    </row>
    <row r="102" spans="1:105" ht="12.75">
      <c r="A102" s="1"/>
      <c r="B102" s="1"/>
      <c r="C102" s="1"/>
      <c r="D102" s="1"/>
      <c r="E102" s="1"/>
      <c r="F102" s="1"/>
      <c r="G102" s="1"/>
      <c r="H102" s="1" t="s">
        <v>156</v>
      </c>
      <c r="U102" s="1"/>
      <c r="V102" s="1"/>
      <c r="BE102" s="23"/>
      <c r="BF102" s="23"/>
      <c r="BG102" s="23"/>
      <c r="BH102" s="23"/>
      <c r="BI102" s="23"/>
      <c r="BJ102" s="23"/>
      <c r="BY102" s="25"/>
      <c r="CO102" s="25"/>
      <c r="DA102" s="25">
        <f>SUM(DA20:DA100)</f>
        <v>4719.197306840673</v>
      </c>
    </row>
    <row r="103" spans="1:93" ht="12.75">
      <c r="A103" s="59" t="s">
        <v>317</v>
      </c>
      <c r="B103" s="59" t="s">
        <v>203</v>
      </c>
      <c r="C103" s="59" t="s">
        <v>268</v>
      </c>
      <c r="D103" s="59" t="s">
        <v>196</v>
      </c>
      <c r="E103" s="59" t="s">
        <v>260</v>
      </c>
      <c r="F103" s="59" t="s">
        <v>193</v>
      </c>
      <c r="G103" s="59" t="s">
        <v>217</v>
      </c>
      <c r="H103" s="59" t="s">
        <v>252</v>
      </c>
      <c r="I103" s="59" t="s">
        <v>197</v>
      </c>
      <c r="J103" s="59" t="s">
        <v>198</v>
      </c>
      <c r="K103" s="59" t="s">
        <v>218</v>
      </c>
      <c r="L103" s="59" t="s">
        <v>219</v>
      </c>
      <c r="M103" s="59" t="s">
        <v>339</v>
      </c>
      <c r="N103" s="59" t="s">
        <v>251</v>
      </c>
      <c r="O103" s="59" t="s">
        <v>348</v>
      </c>
      <c r="CO103" s="25"/>
    </row>
    <row r="104" spans="1:93" ht="12.75">
      <c r="A104" s="109" t="s">
        <v>303</v>
      </c>
      <c r="B104" s="109" t="s">
        <v>318</v>
      </c>
      <c r="C104" s="110" t="s">
        <v>161</v>
      </c>
      <c r="D104" s="109">
        <v>115</v>
      </c>
      <c r="E104" s="109">
        <v>1.5</v>
      </c>
      <c r="F104" s="109">
        <v>30</v>
      </c>
      <c r="G104" s="109" t="s">
        <v>136</v>
      </c>
      <c r="H104" s="109">
        <v>40</v>
      </c>
      <c r="I104" s="109">
        <v>0.018</v>
      </c>
      <c r="J104" s="109">
        <v>0.00392</v>
      </c>
      <c r="K104" s="109">
        <v>0</v>
      </c>
      <c r="L104" s="109">
        <v>0</v>
      </c>
      <c r="M104" s="109">
        <v>10</v>
      </c>
      <c r="N104" s="109">
        <v>70</v>
      </c>
      <c r="O104" s="85">
        <v>25</v>
      </c>
      <c r="CO104" s="25"/>
    </row>
    <row r="105" spans="1:93" ht="12.75">
      <c r="A105" s="109" t="s">
        <v>304</v>
      </c>
      <c r="B105" s="109" t="s">
        <v>319</v>
      </c>
      <c r="C105" s="109" t="s">
        <v>164</v>
      </c>
      <c r="D105" s="109">
        <v>115</v>
      </c>
      <c r="E105" s="109">
        <v>2.5</v>
      </c>
      <c r="F105" s="109">
        <v>45</v>
      </c>
      <c r="G105" s="109" t="s">
        <v>137</v>
      </c>
      <c r="H105" s="109">
        <v>25</v>
      </c>
      <c r="I105" s="109">
        <v>0.018</v>
      </c>
      <c r="J105" s="109">
        <v>0.00392</v>
      </c>
      <c r="K105" s="109">
        <v>0</v>
      </c>
      <c r="L105" s="109">
        <v>0</v>
      </c>
      <c r="M105" s="109">
        <v>20</v>
      </c>
      <c r="N105" s="109">
        <v>70</v>
      </c>
      <c r="O105" s="85">
        <v>50</v>
      </c>
      <c r="CO105" s="25"/>
    </row>
    <row r="106" spans="1:93" ht="12.75">
      <c r="A106" s="109" t="s">
        <v>305</v>
      </c>
      <c r="B106" s="109" t="s">
        <v>320</v>
      </c>
      <c r="C106" s="109" t="s">
        <v>162</v>
      </c>
      <c r="D106" s="109">
        <v>143</v>
      </c>
      <c r="E106" s="109">
        <v>4</v>
      </c>
      <c r="F106" s="109">
        <v>50</v>
      </c>
      <c r="G106" s="109" t="s">
        <v>138</v>
      </c>
      <c r="H106" s="109">
        <v>40</v>
      </c>
      <c r="I106" s="109">
        <v>0.018</v>
      </c>
      <c r="J106" s="109">
        <v>0.00392</v>
      </c>
      <c r="K106" s="109">
        <v>0</v>
      </c>
      <c r="L106" s="109">
        <v>0</v>
      </c>
      <c r="M106" s="109">
        <v>30</v>
      </c>
      <c r="N106" s="109">
        <v>90</v>
      </c>
      <c r="O106" s="85">
        <v>100</v>
      </c>
      <c r="BV106" s="22"/>
      <c r="CO106" s="25"/>
    </row>
    <row r="107" spans="1:93" ht="12.75">
      <c r="A107" s="109" t="s">
        <v>306</v>
      </c>
      <c r="B107" s="109"/>
      <c r="C107" s="109" t="s">
        <v>163</v>
      </c>
      <c r="D107" s="109">
        <v>143</v>
      </c>
      <c r="E107" s="109">
        <v>6</v>
      </c>
      <c r="F107" s="109">
        <v>65</v>
      </c>
      <c r="G107" s="109" t="s">
        <v>139</v>
      </c>
      <c r="H107" s="109">
        <v>25</v>
      </c>
      <c r="I107" s="109">
        <v>0.018</v>
      </c>
      <c r="J107" s="109">
        <v>0.00392</v>
      </c>
      <c r="K107" s="109">
        <v>0</v>
      </c>
      <c r="L107" s="109">
        <v>0</v>
      </c>
      <c r="M107" s="109">
        <v>40</v>
      </c>
      <c r="N107" s="109">
        <v>90</v>
      </c>
      <c r="O107" s="85">
        <v>160</v>
      </c>
      <c r="CO107" s="25"/>
    </row>
    <row r="108" spans="1:93" ht="12.75">
      <c r="A108" s="109"/>
      <c r="B108" s="109"/>
      <c r="C108" s="110" t="s">
        <v>285</v>
      </c>
      <c r="D108" s="109">
        <v>143</v>
      </c>
      <c r="E108" s="109">
        <v>10</v>
      </c>
      <c r="F108" s="109">
        <v>50</v>
      </c>
      <c r="G108" s="109"/>
      <c r="H108" s="109">
        <v>40</v>
      </c>
      <c r="I108" s="109">
        <v>0.018</v>
      </c>
      <c r="J108" s="109">
        <v>0.00392</v>
      </c>
      <c r="K108" s="109">
        <v>0</v>
      </c>
      <c r="L108" s="109">
        <v>0.07</v>
      </c>
      <c r="M108" s="109">
        <v>50</v>
      </c>
      <c r="N108" s="109">
        <v>90</v>
      </c>
      <c r="O108" s="85">
        <v>250</v>
      </c>
      <c r="CO108" s="25"/>
    </row>
    <row r="109" spans="1:93" ht="12.75">
      <c r="A109" s="109"/>
      <c r="B109" s="109"/>
      <c r="C109" s="109" t="s">
        <v>286</v>
      </c>
      <c r="D109" s="109">
        <v>143</v>
      </c>
      <c r="E109" s="109">
        <v>16</v>
      </c>
      <c r="F109" s="109">
        <v>65</v>
      </c>
      <c r="G109" s="109"/>
      <c r="H109" s="109">
        <v>25</v>
      </c>
      <c r="I109" s="109">
        <v>0.018</v>
      </c>
      <c r="J109" s="109">
        <v>0.00392</v>
      </c>
      <c r="K109" s="109">
        <v>0</v>
      </c>
      <c r="L109" s="109">
        <v>0.1</v>
      </c>
      <c r="M109" s="109">
        <v>60</v>
      </c>
      <c r="N109" s="109">
        <v>90</v>
      </c>
      <c r="O109" s="85">
        <v>400</v>
      </c>
      <c r="CO109" s="25"/>
    </row>
    <row r="110" spans="1:93" ht="12.75">
      <c r="A110" s="109"/>
      <c r="B110" s="109"/>
      <c r="C110" s="110" t="s">
        <v>287</v>
      </c>
      <c r="D110" s="109">
        <v>76</v>
      </c>
      <c r="E110" s="109">
        <v>25</v>
      </c>
      <c r="F110" s="109">
        <v>30</v>
      </c>
      <c r="G110" s="109"/>
      <c r="H110" s="109">
        <v>40</v>
      </c>
      <c r="I110" s="109">
        <v>0.029</v>
      </c>
      <c r="J110" s="109">
        <v>0.00403</v>
      </c>
      <c r="K110" s="109">
        <v>0</v>
      </c>
      <c r="L110" s="109">
        <v>0.15</v>
      </c>
      <c r="M110" s="109">
        <v>70</v>
      </c>
      <c r="N110" s="109">
        <v>70</v>
      </c>
      <c r="O110" s="85">
        <v>630</v>
      </c>
      <c r="U110" s="22"/>
      <c r="CO110" s="25"/>
    </row>
    <row r="111" spans="1:93" ht="12.75">
      <c r="A111" s="109"/>
      <c r="B111" s="109"/>
      <c r="C111" s="109" t="s">
        <v>288</v>
      </c>
      <c r="D111" s="109">
        <v>76</v>
      </c>
      <c r="E111" s="109">
        <v>35</v>
      </c>
      <c r="F111" s="109">
        <v>45</v>
      </c>
      <c r="G111" s="109"/>
      <c r="H111" s="109">
        <v>25</v>
      </c>
      <c r="I111" s="109">
        <v>0.029</v>
      </c>
      <c r="J111" s="109">
        <v>0.00403</v>
      </c>
      <c r="K111" s="109">
        <v>0</v>
      </c>
      <c r="L111" s="109">
        <v>0.2</v>
      </c>
      <c r="M111" s="109">
        <v>80</v>
      </c>
      <c r="N111" s="109">
        <v>70</v>
      </c>
      <c r="O111" s="109">
        <v>800</v>
      </c>
      <c r="CO111" s="25"/>
    </row>
    <row r="112" spans="1:93" ht="12.75">
      <c r="A112" s="109"/>
      <c r="B112" s="109"/>
      <c r="C112" s="109" t="s">
        <v>289</v>
      </c>
      <c r="D112" s="109">
        <v>94</v>
      </c>
      <c r="E112" s="109">
        <v>50</v>
      </c>
      <c r="F112" s="109">
        <v>50</v>
      </c>
      <c r="G112" s="109"/>
      <c r="H112" s="109">
        <v>40</v>
      </c>
      <c r="I112" s="109">
        <v>0.029</v>
      </c>
      <c r="J112" s="109">
        <v>0.00403</v>
      </c>
      <c r="K112" s="109">
        <v>0</v>
      </c>
      <c r="L112" s="109">
        <v>0.25</v>
      </c>
      <c r="M112" s="109">
        <v>90</v>
      </c>
      <c r="N112" s="109">
        <v>90</v>
      </c>
      <c r="O112" s="109">
        <v>900</v>
      </c>
      <c r="CO112" s="25"/>
    </row>
    <row r="113" spans="1:93" ht="12.75">
      <c r="A113" s="109" t="s">
        <v>71</v>
      </c>
      <c r="B113" s="109"/>
      <c r="C113" s="109" t="s">
        <v>290</v>
      </c>
      <c r="D113" s="109">
        <v>94</v>
      </c>
      <c r="E113" s="109">
        <v>70</v>
      </c>
      <c r="F113" s="109">
        <v>65</v>
      </c>
      <c r="G113" s="109"/>
      <c r="H113" s="109">
        <v>25</v>
      </c>
      <c r="I113" s="109">
        <v>0.029</v>
      </c>
      <c r="J113" s="109">
        <v>0.00403</v>
      </c>
      <c r="K113" s="109">
        <v>0</v>
      </c>
      <c r="L113" s="109">
        <v>0.38</v>
      </c>
      <c r="M113" s="109">
        <v>100</v>
      </c>
      <c r="N113" s="109">
        <v>90</v>
      </c>
      <c r="O113" s="109">
        <v>1000</v>
      </c>
      <c r="CO113" s="25"/>
    </row>
    <row r="114" spans="1:15" ht="12.75">
      <c r="A114" s="109" t="s">
        <v>62</v>
      </c>
      <c r="B114" s="109"/>
      <c r="C114" s="110" t="s">
        <v>291</v>
      </c>
      <c r="D114" s="109">
        <v>94</v>
      </c>
      <c r="E114" s="109">
        <v>95</v>
      </c>
      <c r="F114" s="109">
        <v>50</v>
      </c>
      <c r="G114" s="109"/>
      <c r="H114" s="109">
        <v>40</v>
      </c>
      <c r="I114" s="109">
        <v>0.029</v>
      </c>
      <c r="J114" s="109">
        <v>0.00403</v>
      </c>
      <c r="K114" s="109">
        <v>0</v>
      </c>
      <c r="L114" s="109">
        <v>0.51</v>
      </c>
      <c r="M114" s="111"/>
      <c r="N114" s="109">
        <v>90</v>
      </c>
      <c r="O114" s="109">
        <v>1250</v>
      </c>
    </row>
    <row r="115" spans="1:15" ht="12.75">
      <c r="A115" s="109" t="s">
        <v>267</v>
      </c>
      <c r="B115" s="109"/>
      <c r="C115" s="109" t="s">
        <v>292</v>
      </c>
      <c r="D115" s="109">
        <v>94</v>
      </c>
      <c r="E115" s="109">
        <v>120</v>
      </c>
      <c r="F115" s="109">
        <v>65</v>
      </c>
      <c r="G115" s="109"/>
      <c r="H115" s="109">
        <v>25</v>
      </c>
      <c r="I115" s="109">
        <v>0.029</v>
      </c>
      <c r="J115" s="109">
        <v>0.00403</v>
      </c>
      <c r="K115" s="109">
        <v>0</v>
      </c>
      <c r="L115" s="109">
        <v>0.63</v>
      </c>
      <c r="M115" s="111"/>
      <c r="N115" s="109">
        <v>90</v>
      </c>
      <c r="O115" s="109">
        <v>1600</v>
      </c>
    </row>
    <row r="116" spans="1:15" ht="12.75">
      <c r="A116" s="109"/>
      <c r="B116" s="109"/>
      <c r="C116" s="110" t="s">
        <v>194</v>
      </c>
      <c r="D116" s="109">
        <v>94</v>
      </c>
      <c r="E116" s="109">
        <v>150</v>
      </c>
      <c r="F116" s="109">
        <v>65</v>
      </c>
      <c r="G116" s="109"/>
      <c r="H116" s="109">
        <v>40</v>
      </c>
      <c r="I116" s="109">
        <v>0.032</v>
      </c>
      <c r="J116" s="109">
        <v>0.0036</v>
      </c>
      <c r="K116" s="109">
        <v>0.15</v>
      </c>
      <c r="L116" s="109">
        <v>0.78</v>
      </c>
      <c r="M116" s="111"/>
      <c r="N116" s="109">
        <v>90</v>
      </c>
      <c r="O116" s="109">
        <v>2000</v>
      </c>
    </row>
    <row r="117" spans="1:15" ht="12.75">
      <c r="A117" s="109"/>
      <c r="B117" s="109"/>
      <c r="C117" s="109"/>
      <c r="D117" s="109"/>
      <c r="E117" s="109">
        <v>185</v>
      </c>
      <c r="F117" s="109"/>
      <c r="G117" s="109"/>
      <c r="H117" s="109"/>
      <c r="I117" s="111"/>
      <c r="J117" s="109"/>
      <c r="K117" s="109">
        <v>0.2</v>
      </c>
      <c r="L117" s="109">
        <v>0.94</v>
      </c>
      <c r="M117" s="111"/>
      <c r="N117" s="111"/>
      <c r="O117" s="109">
        <v>2500</v>
      </c>
    </row>
    <row r="118" spans="1:15" ht="12.75">
      <c r="A118" s="109"/>
      <c r="B118" s="109"/>
      <c r="C118" s="109"/>
      <c r="D118" s="109"/>
      <c r="E118" s="109">
        <v>240</v>
      </c>
      <c r="F118" s="109"/>
      <c r="G118" s="109"/>
      <c r="H118" s="109"/>
      <c r="I118" s="111"/>
      <c r="J118" s="111"/>
      <c r="K118" s="109">
        <v>0.25</v>
      </c>
      <c r="L118" s="109">
        <v>1.21</v>
      </c>
      <c r="M118" s="111"/>
      <c r="N118" s="111"/>
      <c r="O118" s="109"/>
    </row>
    <row r="119" spans="1:15" ht="12.75">
      <c r="A119" s="112"/>
      <c r="B119" s="112"/>
      <c r="C119" s="112"/>
      <c r="D119" s="112"/>
      <c r="E119" s="109">
        <v>300</v>
      </c>
      <c r="F119" s="112"/>
      <c r="G119" s="112"/>
      <c r="H119" s="112"/>
      <c r="I119" s="113"/>
      <c r="J119" s="113"/>
      <c r="K119" s="109">
        <v>0.3</v>
      </c>
      <c r="L119" s="109">
        <v>1.4</v>
      </c>
      <c r="M119" s="113"/>
      <c r="N119" s="113"/>
      <c r="O119" s="112"/>
    </row>
    <row r="120" spans="1:12" ht="12.75">
      <c r="A120" s="1"/>
      <c r="B120" s="1"/>
      <c r="C120" s="1"/>
      <c r="D120" s="1"/>
      <c r="E120" s="109">
        <v>400</v>
      </c>
      <c r="F120" s="1"/>
      <c r="G120" s="1"/>
      <c r="H120" s="1"/>
      <c r="K120" s="85">
        <v>0.35</v>
      </c>
      <c r="L120" s="85">
        <v>1.6</v>
      </c>
    </row>
    <row r="121" spans="5:12" ht="12.75">
      <c r="E121" s="85">
        <v>500</v>
      </c>
      <c r="K121" s="85">
        <v>0.4</v>
      </c>
      <c r="L121" s="85">
        <v>1.8</v>
      </c>
    </row>
    <row r="122" spans="5:12" ht="12.75">
      <c r="E122" s="85">
        <v>630</v>
      </c>
      <c r="K122" s="85">
        <v>0.45</v>
      </c>
      <c r="L122" s="85">
        <v>2</v>
      </c>
    </row>
    <row r="123" spans="5:12" ht="12.75">
      <c r="E123" s="137">
        <v>54.6</v>
      </c>
      <c r="K123" s="137">
        <v>0</v>
      </c>
      <c r="L123" s="137">
        <v>0.28</v>
      </c>
    </row>
    <row r="124" spans="5:12" ht="12.75">
      <c r="E124" s="136">
        <v>80</v>
      </c>
      <c r="K124" s="136">
        <v>0</v>
      </c>
      <c r="L124" s="112">
        <v>0.43</v>
      </c>
    </row>
    <row r="127" ht="13.5" thickBot="1"/>
    <row r="128" spans="2:11" ht="13.5" thickTop="1">
      <c r="B128" s="205" t="s">
        <v>79</v>
      </c>
      <c r="C128" s="206"/>
      <c r="D128" s="206"/>
      <c r="E128" s="206"/>
      <c r="F128" s="206"/>
      <c r="G128" s="206"/>
      <c r="H128" s="208"/>
      <c r="I128" s="208"/>
      <c r="J128" s="208"/>
      <c r="K128" s="209"/>
    </row>
    <row r="129" spans="2:11" ht="13.5" thickBot="1">
      <c r="B129" s="198" t="s">
        <v>2</v>
      </c>
      <c r="C129" s="196"/>
      <c r="D129" s="197" t="s">
        <v>3</v>
      </c>
      <c r="E129" s="196"/>
      <c r="F129" s="197" t="s">
        <v>4</v>
      </c>
      <c r="G129" s="196"/>
      <c r="H129" s="210" t="s">
        <v>3</v>
      </c>
      <c r="I129" s="196"/>
      <c r="J129" s="197" t="s">
        <v>146</v>
      </c>
      <c r="K129" s="199"/>
    </row>
    <row r="130" spans="1:11" ht="13.5" thickTop="1">
      <c r="A130" s="235" t="s">
        <v>127</v>
      </c>
      <c r="B130" s="200" t="s">
        <v>7</v>
      </c>
      <c r="C130" s="59" t="s">
        <v>8</v>
      </c>
      <c r="D130" s="59" t="s">
        <v>7</v>
      </c>
      <c r="E130" s="59" t="s">
        <v>8</v>
      </c>
      <c r="F130" s="59" t="s">
        <v>145</v>
      </c>
      <c r="G130" s="59" t="s">
        <v>8</v>
      </c>
      <c r="H130" s="211" t="s">
        <v>142</v>
      </c>
      <c r="I130" s="59" t="s">
        <v>143</v>
      </c>
      <c r="J130" s="59" t="s">
        <v>144</v>
      </c>
      <c r="K130" s="201" t="s">
        <v>143</v>
      </c>
    </row>
    <row r="131" spans="1:11" ht="12.75">
      <c r="A131" s="236">
        <v>1.5</v>
      </c>
      <c r="B131" s="202" t="s">
        <v>1</v>
      </c>
      <c r="C131" s="195" t="s">
        <v>1</v>
      </c>
      <c r="D131" s="195" t="s">
        <v>1</v>
      </c>
      <c r="E131" s="195" t="s">
        <v>1</v>
      </c>
      <c r="F131" s="195" t="s">
        <v>1</v>
      </c>
      <c r="G131" s="195" t="s">
        <v>1</v>
      </c>
      <c r="H131" s="212" t="s">
        <v>1</v>
      </c>
      <c r="I131" s="195" t="s">
        <v>1</v>
      </c>
      <c r="J131" s="195" t="s">
        <v>1</v>
      </c>
      <c r="K131" s="189" t="s">
        <v>1</v>
      </c>
    </row>
    <row r="132" spans="1:11" ht="12.75">
      <c r="A132" s="236">
        <v>2.5</v>
      </c>
      <c r="B132" s="190" t="s">
        <v>1</v>
      </c>
      <c r="C132" s="109" t="s">
        <v>1</v>
      </c>
      <c r="D132" s="109" t="s">
        <v>1</v>
      </c>
      <c r="E132" s="109" t="s">
        <v>1</v>
      </c>
      <c r="F132" s="109" t="s">
        <v>1</v>
      </c>
      <c r="G132" s="109" t="s">
        <v>1</v>
      </c>
      <c r="H132" s="213" t="s">
        <v>1</v>
      </c>
      <c r="I132" s="109" t="s">
        <v>1</v>
      </c>
      <c r="J132" s="109" t="s">
        <v>1</v>
      </c>
      <c r="K132" s="191" t="s">
        <v>1</v>
      </c>
    </row>
    <row r="133" spans="1:11" ht="12.75">
      <c r="A133" s="236">
        <v>4</v>
      </c>
      <c r="B133" s="190" t="s">
        <v>1</v>
      </c>
      <c r="C133" s="109" t="s">
        <v>1</v>
      </c>
      <c r="D133" s="109" t="s">
        <v>1</v>
      </c>
      <c r="E133" s="109" t="s">
        <v>1</v>
      </c>
      <c r="F133" s="109" t="s">
        <v>1</v>
      </c>
      <c r="G133" s="109" t="s">
        <v>1</v>
      </c>
      <c r="H133" s="213" t="s">
        <v>1</v>
      </c>
      <c r="I133" s="109" t="s">
        <v>1</v>
      </c>
      <c r="J133" s="109" t="s">
        <v>1</v>
      </c>
      <c r="K133" s="191" t="s">
        <v>1</v>
      </c>
    </row>
    <row r="134" spans="1:11" ht="12.75">
      <c r="A134" s="236">
        <v>6</v>
      </c>
      <c r="B134" s="190" t="s">
        <v>1</v>
      </c>
      <c r="C134" s="109" t="s">
        <v>1</v>
      </c>
      <c r="D134" s="109" t="s">
        <v>1</v>
      </c>
      <c r="E134" s="109" t="s">
        <v>1</v>
      </c>
      <c r="F134" s="109" t="s">
        <v>1</v>
      </c>
      <c r="G134" s="109" t="s">
        <v>1</v>
      </c>
      <c r="H134" s="213" t="s">
        <v>1</v>
      </c>
      <c r="I134" s="109" t="s">
        <v>1</v>
      </c>
      <c r="J134" s="109" t="s">
        <v>1</v>
      </c>
      <c r="K134" s="191" t="s">
        <v>1</v>
      </c>
    </row>
    <row r="135" spans="1:11" ht="12.75">
      <c r="A135" s="236">
        <v>10</v>
      </c>
      <c r="B135" s="190" t="s">
        <v>1</v>
      </c>
      <c r="C135" s="109" t="s">
        <v>1</v>
      </c>
      <c r="D135" s="109" t="s">
        <v>1</v>
      </c>
      <c r="E135" s="109" t="s">
        <v>1</v>
      </c>
      <c r="F135" s="109" t="s">
        <v>1</v>
      </c>
      <c r="G135" s="109" t="s">
        <v>1</v>
      </c>
      <c r="H135" s="213">
        <v>77</v>
      </c>
      <c r="I135" s="109">
        <v>65</v>
      </c>
      <c r="J135" s="109">
        <v>85</v>
      </c>
      <c r="K135" s="191">
        <v>72</v>
      </c>
    </row>
    <row r="136" spans="1:11" ht="12.75">
      <c r="A136" s="236">
        <v>16</v>
      </c>
      <c r="B136" s="190" t="s">
        <v>1</v>
      </c>
      <c r="C136" s="109" t="s">
        <v>1</v>
      </c>
      <c r="D136" s="109">
        <v>73</v>
      </c>
      <c r="E136" s="109">
        <v>67</v>
      </c>
      <c r="F136" s="109">
        <v>81</v>
      </c>
      <c r="G136" s="109">
        <v>72</v>
      </c>
      <c r="H136" s="213" t="s">
        <v>1</v>
      </c>
      <c r="I136" s="109">
        <v>86</v>
      </c>
      <c r="J136" s="109" t="s">
        <v>1</v>
      </c>
      <c r="K136" s="191">
        <v>95</v>
      </c>
    </row>
    <row r="137" spans="1:11" ht="12.75">
      <c r="A137" s="236">
        <v>25</v>
      </c>
      <c r="B137" s="190">
        <v>110</v>
      </c>
      <c r="C137" s="109">
        <v>100</v>
      </c>
      <c r="D137" s="109">
        <v>101</v>
      </c>
      <c r="E137" s="109">
        <v>90</v>
      </c>
      <c r="F137" s="109">
        <v>109</v>
      </c>
      <c r="G137" s="109">
        <v>97</v>
      </c>
      <c r="H137" s="213" t="s">
        <v>1</v>
      </c>
      <c r="I137" s="109" t="s">
        <v>1</v>
      </c>
      <c r="J137" s="109" t="s">
        <v>1</v>
      </c>
      <c r="K137" s="191" t="s">
        <v>1</v>
      </c>
    </row>
    <row r="138" spans="1:11" ht="12.75">
      <c r="A138" s="236">
        <v>35</v>
      </c>
      <c r="B138" s="190">
        <v>165</v>
      </c>
      <c r="C138" s="109" t="s">
        <v>1</v>
      </c>
      <c r="D138" s="109" t="s">
        <v>1</v>
      </c>
      <c r="E138" s="109" t="s">
        <v>1</v>
      </c>
      <c r="F138" s="109" t="s">
        <v>1</v>
      </c>
      <c r="G138" s="109" t="s">
        <v>1</v>
      </c>
      <c r="H138" s="213" t="s">
        <v>1</v>
      </c>
      <c r="I138" s="109" t="s">
        <v>1</v>
      </c>
      <c r="J138" s="109" t="s">
        <v>1</v>
      </c>
      <c r="K138" s="191" t="s">
        <v>1</v>
      </c>
    </row>
    <row r="139" spans="1:11" ht="12.75">
      <c r="A139" s="236">
        <v>50</v>
      </c>
      <c r="B139" s="190" t="s">
        <v>1</v>
      </c>
      <c r="C139" s="109">
        <v>150</v>
      </c>
      <c r="D139" s="109" t="s">
        <v>1</v>
      </c>
      <c r="E139" s="109">
        <v>133</v>
      </c>
      <c r="F139" s="109" t="s">
        <v>1</v>
      </c>
      <c r="G139" s="109">
        <v>144</v>
      </c>
      <c r="H139" s="213" t="s">
        <v>1</v>
      </c>
      <c r="I139" s="109" t="s">
        <v>1</v>
      </c>
      <c r="J139" s="109" t="s">
        <v>1</v>
      </c>
      <c r="K139" s="191" t="s">
        <v>1</v>
      </c>
    </row>
    <row r="140" spans="1:11" ht="12.75">
      <c r="A140" s="236">
        <v>70</v>
      </c>
      <c r="B140" s="190" t="s">
        <v>1</v>
      </c>
      <c r="C140" s="109" t="s">
        <v>1</v>
      </c>
      <c r="D140" s="109" t="s">
        <v>1</v>
      </c>
      <c r="E140" s="109" t="s">
        <v>1</v>
      </c>
      <c r="F140" s="109" t="s">
        <v>1</v>
      </c>
      <c r="G140" s="109" t="s">
        <v>1</v>
      </c>
      <c r="H140" s="213" t="s">
        <v>1</v>
      </c>
      <c r="I140" s="109" t="s">
        <v>1</v>
      </c>
      <c r="J140" s="109" t="s">
        <v>1</v>
      </c>
      <c r="K140" s="191" t="s">
        <v>1</v>
      </c>
    </row>
    <row r="141" spans="1:11" ht="12.75">
      <c r="A141" s="236">
        <v>95</v>
      </c>
      <c r="B141" s="190" t="s">
        <v>1</v>
      </c>
      <c r="C141" s="109">
        <v>230</v>
      </c>
      <c r="D141" s="109" t="s">
        <v>1</v>
      </c>
      <c r="E141" s="109">
        <v>207</v>
      </c>
      <c r="F141" s="109" t="s">
        <v>1</v>
      </c>
      <c r="G141" s="109">
        <v>223</v>
      </c>
      <c r="H141" s="213" t="s">
        <v>1</v>
      </c>
      <c r="I141" s="109" t="s">
        <v>1</v>
      </c>
      <c r="J141" s="109" t="s">
        <v>1</v>
      </c>
      <c r="K141" s="191" t="s">
        <v>1</v>
      </c>
    </row>
    <row r="142" spans="1:11" ht="12.75">
      <c r="A142" s="236">
        <v>120</v>
      </c>
      <c r="B142" s="190" t="s">
        <v>1</v>
      </c>
      <c r="C142" s="109" t="s">
        <v>1</v>
      </c>
      <c r="D142" s="109" t="s">
        <v>1</v>
      </c>
      <c r="E142" s="109" t="s">
        <v>1</v>
      </c>
      <c r="F142" s="109" t="s">
        <v>1</v>
      </c>
      <c r="G142" s="109" t="s">
        <v>1</v>
      </c>
      <c r="H142" s="213" t="s">
        <v>1</v>
      </c>
      <c r="I142" s="109" t="s">
        <v>1</v>
      </c>
      <c r="J142" s="109" t="s">
        <v>1</v>
      </c>
      <c r="K142" s="191" t="s">
        <v>1</v>
      </c>
    </row>
    <row r="143" spans="1:11" ht="13.5" thickBot="1">
      <c r="A143" s="236">
        <v>150</v>
      </c>
      <c r="B143" s="190" t="s">
        <v>1</v>
      </c>
      <c r="C143" s="109">
        <v>305</v>
      </c>
      <c r="D143" s="203" t="s">
        <v>1</v>
      </c>
      <c r="E143" s="203">
        <v>277</v>
      </c>
      <c r="F143" s="203" t="s">
        <v>1</v>
      </c>
      <c r="G143" s="203">
        <v>30</v>
      </c>
      <c r="H143" s="214" t="s">
        <v>1</v>
      </c>
      <c r="I143" s="203" t="s">
        <v>1</v>
      </c>
      <c r="J143" s="203" t="s">
        <v>1</v>
      </c>
      <c r="K143" s="204" t="s">
        <v>1</v>
      </c>
    </row>
    <row r="144" spans="1:7" ht="13.5" thickTop="1">
      <c r="A144" s="237" t="s">
        <v>5</v>
      </c>
      <c r="B144" s="202">
        <v>165</v>
      </c>
      <c r="C144" s="189">
        <v>150</v>
      </c>
      <c r="D144" s="1"/>
      <c r="E144" s="1"/>
      <c r="F144" s="1"/>
      <c r="G144" s="1"/>
    </row>
    <row r="145" spans="1:5" ht="13.5" thickBot="1">
      <c r="A145" s="238" t="s">
        <v>6</v>
      </c>
      <c r="B145" s="192" t="s">
        <v>1</v>
      </c>
      <c r="C145" s="204">
        <v>180</v>
      </c>
      <c r="D145" s="1"/>
      <c r="E145" s="1"/>
    </row>
    <row r="146" ht="13.5" thickTop="1"/>
    <row r="147" ht="13.5" thickBot="1"/>
    <row r="148" spans="2:13" ht="13.5" thickTop="1">
      <c r="B148" s="205" t="s">
        <v>80</v>
      </c>
      <c r="C148" s="206"/>
      <c r="D148" s="206"/>
      <c r="E148" s="206"/>
      <c r="F148" s="206"/>
      <c r="G148" s="206"/>
      <c r="H148" s="208"/>
      <c r="I148" s="208"/>
      <c r="J148" s="208"/>
      <c r="K148" s="208"/>
      <c r="L148" s="208"/>
      <c r="M148" s="209"/>
    </row>
    <row r="149" spans="2:13" ht="13.5" thickBot="1">
      <c r="B149" s="198" t="s">
        <v>147</v>
      </c>
      <c r="C149" s="210"/>
      <c r="D149" s="196"/>
      <c r="E149" s="210" t="s">
        <v>148</v>
      </c>
      <c r="F149" s="210"/>
      <c r="G149" s="196"/>
      <c r="H149" s="198" t="s">
        <v>82</v>
      </c>
      <c r="I149" s="210"/>
      <c r="J149" s="196"/>
      <c r="K149" s="210" t="s">
        <v>83</v>
      </c>
      <c r="L149" s="210"/>
      <c r="M149" s="199"/>
    </row>
    <row r="150" spans="1:13" ht="13.5" thickTop="1">
      <c r="A150" s="235" t="s">
        <v>127</v>
      </c>
      <c r="B150" s="200" t="s">
        <v>149</v>
      </c>
      <c r="C150" s="59" t="s">
        <v>150</v>
      </c>
      <c r="D150" s="59" t="s">
        <v>151</v>
      </c>
      <c r="E150" s="200" t="s">
        <v>149</v>
      </c>
      <c r="F150" s="59" t="s">
        <v>150</v>
      </c>
      <c r="G150" s="59" t="s">
        <v>151</v>
      </c>
      <c r="H150" s="200" t="s">
        <v>149</v>
      </c>
      <c r="I150" s="59" t="s">
        <v>150</v>
      </c>
      <c r="J150" s="26" t="s">
        <v>151</v>
      </c>
      <c r="K150" s="59" t="s">
        <v>149</v>
      </c>
      <c r="L150" s="59" t="s">
        <v>150</v>
      </c>
      <c r="M150" s="201" t="s">
        <v>151</v>
      </c>
    </row>
    <row r="151" spans="1:13" ht="12.75">
      <c r="A151" s="236">
        <v>6</v>
      </c>
      <c r="B151" s="190" t="s">
        <v>1</v>
      </c>
      <c r="C151" s="109" t="s">
        <v>1</v>
      </c>
      <c r="D151" s="109" t="s">
        <v>1</v>
      </c>
      <c r="E151" s="109" t="s">
        <v>1</v>
      </c>
      <c r="F151" s="109" t="s">
        <v>1</v>
      </c>
      <c r="G151" s="109" t="s">
        <v>1</v>
      </c>
      <c r="H151" s="190">
        <v>72</v>
      </c>
      <c r="I151" s="109">
        <v>70</v>
      </c>
      <c r="J151" s="109">
        <v>63</v>
      </c>
      <c r="K151" s="109">
        <v>66</v>
      </c>
      <c r="L151" s="109">
        <v>64</v>
      </c>
      <c r="M151" s="191">
        <v>56</v>
      </c>
    </row>
    <row r="152" spans="1:13" ht="12.75">
      <c r="A152" s="236">
        <v>10</v>
      </c>
      <c r="B152" s="190" t="s">
        <v>1</v>
      </c>
      <c r="C152" s="109" t="s">
        <v>1</v>
      </c>
      <c r="D152" s="109" t="s">
        <v>1</v>
      </c>
      <c r="E152" s="109" t="s">
        <v>1</v>
      </c>
      <c r="F152" s="109" t="s">
        <v>1</v>
      </c>
      <c r="G152" s="109" t="s">
        <v>1</v>
      </c>
      <c r="H152" s="190">
        <v>96</v>
      </c>
      <c r="I152" s="109">
        <v>94</v>
      </c>
      <c r="J152" s="109">
        <v>85</v>
      </c>
      <c r="K152" s="109">
        <v>88</v>
      </c>
      <c r="L152" s="109">
        <v>85</v>
      </c>
      <c r="M152" s="191">
        <v>75</v>
      </c>
    </row>
    <row r="153" spans="1:13" ht="12.75">
      <c r="A153" s="236">
        <v>16</v>
      </c>
      <c r="B153" s="190">
        <v>97</v>
      </c>
      <c r="C153" s="109">
        <v>97</v>
      </c>
      <c r="D153" s="109">
        <v>86</v>
      </c>
      <c r="E153" s="109">
        <v>90</v>
      </c>
      <c r="F153" s="109">
        <v>86</v>
      </c>
      <c r="G153" s="109">
        <v>76</v>
      </c>
      <c r="H153" s="190">
        <v>125</v>
      </c>
      <c r="I153" s="109">
        <v>120</v>
      </c>
      <c r="J153" s="109">
        <v>110</v>
      </c>
      <c r="K153" s="109">
        <v>115</v>
      </c>
      <c r="L153" s="109">
        <v>110</v>
      </c>
      <c r="M153" s="191">
        <v>97</v>
      </c>
    </row>
    <row r="154" spans="1:13" ht="12.75">
      <c r="A154" s="236">
        <v>25</v>
      </c>
      <c r="B154" s="190">
        <v>125</v>
      </c>
      <c r="C154" s="109">
        <v>120</v>
      </c>
      <c r="D154" s="109">
        <v>110</v>
      </c>
      <c r="E154" s="109">
        <v>115</v>
      </c>
      <c r="F154" s="109">
        <v>110</v>
      </c>
      <c r="G154" s="109">
        <v>98</v>
      </c>
      <c r="H154" s="190">
        <v>160</v>
      </c>
      <c r="I154" s="109">
        <v>155</v>
      </c>
      <c r="J154" s="109">
        <v>140</v>
      </c>
      <c r="K154" s="109">
        <v>150</v>
      </c>
      <c r="L154" s="109">
        <v>140</v>
      </c>
      <c r="M154" s="191">
        <v>125</v>
      </c>
    </row>
    <row r="155" spans="1:13" ht="12.75">
      <c r="A155" s="236">
        <v>35</v>
      </c>
      <c r="B155" s="190">
        <v>150</v>
      </c>
      <c r="C155" s="109">
        <v>145</v>
      </c>
      <c r="D155" s="109">
        <v>130</v>
      </c>
      <c r="E155" s="109">
        <v>140</v>
      </c>
      <c r="F155" s="109">
        <v>135</v>
      </c>
      <c r="G155" s="109">
        <v>120</v>
      </c>
      <c r="H155" s="190">
        <v>190</v>
      </c>
      <c r="I155" s="109">
        <v>185</v>
      </c>
      <c r="J155" s="109">
        <v>170</v>
      </c>
      <c r="K155" s="109">
        <v>180</v>
      </c>
      <c r="L155" s="109">
        <v>175</v>
      </c>
      <c r="M155" s="191">
        <v>150</v>
      </c>
    </row>
    <row r="156" spans="1:13" ht="12.75">
      <c r="A156" s="236">
        <v>50</v>
      </c>
      <c r="B156" s="190">
        <v>180</v>
      </c>
      <c r="C156" s="109">
        <v>175</v>
      </c>
      <c r="D156" s="109">
        <v>155</v>
      </c>
      <c r="E156" s="109">
        <v>165</v>
      </c>
      <c r="F156" s="109">
        <v>160</v>
      </c>
      <c r="G156" s="109">
        <v>140</v>
      </c>
      <c r="H156" s="190">
        <v>230</v>
      </c>
      <c r="I156" s="109">
        <v>225</v>
      </c>
      <c r="J156" s="109">
        <v>200</v>
      </c>
      <c r="K156" s="109">
        <v>215</v>
      </c>
      <c r="L156" s="109">
        <v>205</v>
      </c>
      <c r="M156" s="191">
        <v>180</v>
      </c>
    </row>
    <row r="157" spans="1:13" ht="12.75">
      <c r="A157" s="236">
        <v>70</v>
      </c>
      <c r="B157" s="190">
        <v>220</v>
      </c>
      <c r="C157" s="109">
        <v>215</v>
      </c>
      <c r="D157" s="109">
        <v>190</v>
      </c>
      <c r="E157" s="109">
        <v>205</v>
      </c>
      <c r="F157" s="109">
        <v>220</v>
      </c>
      <c r="G157" s="109">
        <v>170</v>
      </c>
      <c r="H157" s="190">
        <v>280</v>
      </c>
      <c r="I157" s="109">
        <v>270</v>
      </c>
      <c r="J157" s="109">
        <v>245</v>
      </c>
      <c r="K157" s="109">
        <v>260</v>
      </c>
      <c r="L157" s="109">
        <v>250</v>
      </c>
      <c r="M157" s="191">
        <v>220</v>
      </c>
    </row>
    <row r="158" spans="1:13" ht="12.75">
      <c r="A158" s="236">
        <v>95</v>
      </c>
      <c r="B158" s="190">
        <v>260</v>
      </c>
      <c r="C158" s="109">
        <v>255</v>
      </c>
      <c r="D158" s="109">
        <v>225</v>
      </c>
      <c r="E158" s="109">
        <v>240</v>
      </c>
      <c r="F158" s="109">
        <v>235</v>
      </c>
      <c r="G158" s="109">
        <v>210</v>
      </c>
      <c r="H158" s="190">
        <v>335</v>
      </c>
      <c r="I158" s="109">
        <v>325</v>
      </c>
      <c r="J158" s="109">
        <v>290</v>
      </c>
      <c r="K158" s="109">
        <v>310</v>
      </c>
      <c r="L158" s="109">
        <v>305</v>
      </c>
      <c r="M158" s="191">
        <v>265</v>
      </c>
    </row>
    <row r="159" spans="1:13" ht="12.75">
      <c r="A159" s="236">
        <v>120</v>
      </c>
      <c r="B159" s="190">
        <v>295</v>
      </c>
      <c r="C159" s="109">
        <v>290</v>
      </c>
      <c r="D159" s="109">
        <v>260</v>
      </c>
      <c r="E159" s="109">
        <v>275</v>
      </c>
      <c r="F159" s="109">
        <v>270</v>
      </c>
      <c r="G159" s="109">
        <v>235</v>
      </c>
      <c r="H159" s="190">
        <v>380</v>
      </c>
      <c r="I159" s="109">
        <v>375</v>
      </c>
      <c r="J159" s="109">
        <v>335</v>
      </c>
      <c r="K159" s="109">
        <v>355</v>
      </c>
      <c r="L159" s="109">
        <v>350</v>
      </c>
      <c r="M159" s="191">
        <v>305</v>
      </c>
    </row>
    <row r="160" spans="1:13" ht="12.75">
      <c r="A160" s="236">
        <v>150</v>
      </c>
      <c r="B160" s="190">
        <v>330</v>
      </c>
      <c r="C160" s="109">
        <v>325</v>
      </c>
      <c r="D160" s="109">
        <v>290</v>
      </c>
      <c r="E160" s="109">
        <v>310</v>
      </c>
      <c r="F160" s="109">
        <v>305</v>
      </c>
      <c r="G160" s="109">
        <v>265</v>
      </c>
      <c r="H160" s="190">
        <v>425</v>
      </c>
      <c r="I160" s="109">
        <v>415</v>
      </c>
      <c r="J160" s="109">
        <v>370</v>
      </c>
      <c r="K160" s="109">
        <v>400</v>
      </c>
      <c r="L160" s="109">
        <v>390</v>
      </c>
      <c r="M160" s="191">
        <v>340</v>
      </c>
    </row>
    <row r="161" spans="1:13" ht="12.75">
      <c r="A161" s="236">
        <v>185</v>
      </c>
      <c r="B161" s="190">
        <v>375</v>
      </c>
      <c r="C161" s="109">
        <v>365</v>
      </c>
      <c r="D161" s="109">
        <v>325</v>
      </c>
      <c r="E161" s="109">
        <v>350</v>
      </c>
      <c r="F161" s="109">
        <v>345</v>
      </c>
      <c r="G161" s="109">
        <v>300</v>
      </c>
      <c r="H161" s="190">
        <v>480</v>
      </c>
      <c r="I161" s="109">
        <v>470</v>
      </c>
      <c r="J161" s="109">
        <v>420</v>
      </c>
      <c r="K161" s="109">
        <v>450</v>
      </c>
      <c r="L161" s="109">
        <v>440</v>
      </c>
      <c r="M161" s="191">
        <v>385</v>
      </c>
    </row>
    <row r="162" spans="1:13" ht="12.75">
      <c r="A162" s="236">
        <v>240</v>
      </c>
      <c r="B162" s="190">
        <v>430</v>
      </c>
      <c r="C162" s="109">
        <v>420</v>
      </c>
      <c r="D162" s="109">
        <v>380</v>
      </c>
      <c r="E162" s="109">
        <v>405</v>
      </c>
      <c r="F162" s="109">
        <v>395</v>
      </c>
      <c r="G162" s="109">
        <v>350</v>
      </c>
      <c r="H162" s="190">
        <v>550</v>
      </c>
      <c r="I162" s="109">
        <v>540</v>
      </c>
      <c r="J162" s="109">
        <v>485</v>
      </c>
      <c r="K162" s="109">
        <v>520</v>
      </c>
      <c r="L162" s="109">
        <v>505</v>
      </c>
      <c r="M162" s="191">
        <v>445</v>
      </c>
    </row>
    <row r="163" spans="1:13" ht="12.75">
      <c r="A163" s="236">
        <v>300</v>
      </c>
      <c r="B163" s="190">
        <v>485</v>
      </c>
      <c r="C163" s="109">
        <v>475</v>
      </c>
      <c r="D163" s="109">
        <v>430</v>
      </c>
      <c r="E163" s="109">
        <v>460</v>
      </c>
      <c r="F163" s="109">
        <v>445</v>
      </c>
      <c r="G163" s="109">
        <v>395</v>
      </c>
      <c r="H163" s="190">
        <v>620</v>
      </c>
      <c r="I163" s="109">
        <v>610</v>
      </c>
      <c r="J163" s="109">
        <v>550</v>
      </c>
      <c r="K163" s="109">
        <v>590</v>
      </c>
      <c r="L163" s="109">
        <v>565</v>
      </c>
      <c r="M163" s="191">
        <v>505</v>
      </c>
    </row>
    <row r="164" spans="1:13" ht="12.75">
      <c r="A164" s="236">
        <v>400</v>
      </c>
      <c r="B164" s="190">
        <v>550</v>
      </c>
      <c r="C164" s="109">
        <v>540</v>
      </c>
      <c r="D164" s="109">
        <v>480</v>
      </c>
      <c r="E164" s="109">
        <v>520</v>
      </c>
      <c r="F164" s="109">
        <v>500</v>
      </c>
      <c r="G164" s="109">
        <v>445</v>
      </c>
      <c r="H164" s="190">
        <v>705</v>
      </c>
      <c r="I164" s="109">
        <v>690</v>
      </c>
      <c r="J164" s="109">
        <v>615</v>
      </c>
      <c r="K164" s="109">
        <v>665</v>
      </c>
      <c r="L164" s="109">
        <v>645</v>
      </c>
      <c r="M164" s="191">
        <v>570</v>
      </c>
    </row>
    <row r="165" spans="1:13" ht="12.75">
      <c r="A165" s="239">
        <v>500</v>
      </c>
      <c r="B165" s="190">
        <v>615</v>
      </c>
      <c r="C165" s="109">
        <v>605</v>
      </c>
      <c r="D165" s="109">
        <v>525</v>
      </c>
      <c r="E165" s="109" t="s">
        <v>1</v>
      </c>
      <c r="F165" s="109" t="s">
        <v>1</v>
      </c>
      <c r="G165" s="109" t="s">
        <v>1</v>
      </c>
      <c r="H165" s="190">
        <v>790</v>
      </c>
      <c r="I165" s="109">
        <v>775</v>
      </c>
      <c r="J165" s="109">
        <v>685</v>
      </c>
      <c r="K165" s="109" t="s">
        <v>1</v>
      </c>
      <c r="L165" s="109" t="s">
        <v>1</v>
      </c>
      <c r="M165" s="191" t="s">
        <v>1</v>
      </c>
    </row>
    <row r="166" spans="1:13" ht="13.5" thickBot="1">
      <c r="A166" s="238">
        <v>630</v>
      </c>
      <c r="B166" s="192">
        <v>690</v>
      </c>
      <c r="C166" s="203">
        <v>680</v>
      </c>
      <c r="D166" s="203">
        <v>600</v>
      </c>
      <c r="E166" s="203" t="s">
        <v>1</v>
      </c>
      <c r="F166" s="203" t="s">
        <v>1</v>
      </c>
      <c r="G166" s="203" t="s">
        <v>1</v>
      </c>
      <c r="H166" s="192">
        <v>885</v>
      </c>
      <c r="I166" s="203">
        <v>870</v>
      </c>
      <c r="J166" s="203">
        <v>770</v>
      </c>
      <c r="K166" s="203" t="s">
        <v>1</v>
      </c>
      <c r="L166" s="203" t="s">
        <v>1</v>
      </c>
      <c r="M166" s="204" t="s">
        <v>1</v>
      </c>
    </row>
    <row r="167" ht="13.5" thickTop="1"/>
    <row r="168" ht="13.5" thickBot="1"/>
    <row r="169" spans="2:13" ht="13.5" thickTop="1">
      <c r="B169" s="205" t="s">
        <v>81</v>
      </c>
      <c r="C169" s="206"/>
      <c r="D169" s="206"/>
      <c r="E169" s="206"/>
      <c r="F169" s="206"/>
      <c r="G169" s="206"/>
      <c r="H169" s="208"/>
      <c r="I169" s="208"/>
      <c r="J169" s="208"/>
      <c r="K169" s="208"/>
      <c r="L169" s="208"/>
      <c r="M169" s="209"/>
    </row>
    <row r="170" spans="2:13" ht="13.5" thickBot="1">
      <c r="B170" s="198" t="s">
        <v>147</v>
      </c>
      <c r="C170" s="210"/>
      <c r="D170" s="196"/>
      <c r="E170" s="210" t="s">
        <v>148</v>
      </c>
      <c r="F170" s="210"/>
      <c r="G170" s="196"/>
      <c r="H170" s="198" t="s">
        <v>82</v>
      </c>
      <c r="I170" s="210"/>
      <c r="J170" s="196"/>
      <c r="K170" s="210" t="s">
        <v>83</v>
      </c>
      <c r="L170" s="210"/>
      <c r="M170" s="199"/>
    </row>
    <row r="171" spans="1:13" ht="13.5" thickTop="1">
      <c r="A171" s="235" t="s">
        <v>127</v>
      </c>
      <c r="B171" s="200" t="s">
        <v>149</v>
      </c>
      <c r="C171" s="59" t="s">
        <v>150</v>
      </c>
      <c r="D171" s="59" t="s">
        <v>151</v>
      </c>
      <c r="E171" s="200" t="s">
        <v>149</v>
      </c>
      <c r="F171" s="59" t="s">
        <v>150</v>
      </c>
      <c r="G171" s="59" t="s">
        <v>151</v>
      </c>
      <c r="H171" s="200" t="s">
        <v>149</v>
      </c>
      <c r="I171" s="59" t="s">
        <v>150</v>
      </c>
      <c r="J171" s="26" t="s">
        <v>151</v>
      </c>
      <c r="K171" s="59" t="s">
        <v>149</v>
      </c>
      <c r="L171" s="59" t="s">
        <v>150</v>
      </c>
      <c r="M171" s="201" t="s">
        <v>151</v>
      </c>
    </row>
    <row r="172" spans="1:13" ht="12.75">
      <c r="A172" s="236">
        <v>6</v>
      </c>
      <c r="B172" s="190" t="s">
        <v>1</v>
      </c>
      <c r="C172" s="109" t="s">
        <v>1</v>
      </c>
      <c r="D172" s="109" t="s">
        <v>1</v>
      </c>
      <c r="E172" s="109" t="s">
        <v>1</v>
      </c>
      <c r="F172" s="109" t="s">
        <v>1</v>
      </c>
      <c r="G172" s="109" t="s">
        <v>1</v>
      </c>
      <c r="H172" s="190">
        <v>46</v>
      </c>
      <c r="I172" s="109">
        <v>45</v>
      </c>
      <c r="J172" s="109">
        <v>38</v>
      </c>
      <c r="K172" s="109">
        <v>44</v>
      </c>
      <c r="L172" s="109">
        <v>43</v>
      </c>
      <c r="M172" s="191">
        <v>36</v>
      </c>
    </row>
    <row r="173" spans="1:13" ht="12.75">
      <c r="A173" s="236">
        <v>10</v>
      </c>
      <c r="B173" s="190" t="s">
        <v>1</v>
      </c>
      <c r="C173" s="109" t="s">
        <v>1</v>
      </c>
      <c r="D173" s="109" t="s">
        <v>1</v>
      </c>
      <c r="E173" s="109" t="s">
        <v>1</v>
      </c>
      <c r="F173" s="109" t="s">
        <v>1</v>
      </c>
      <c r="G173" s="109" t="s">
        <v>1</v>
      </c>
      <c r="H173" s="190">
        <v>64</v>
      </c>
      <c r="I173" s="109">
        <v>62</v>
      </c>
      <c r="J173" s="109">
        <v>53</v>
      </c>
      <c r="K173" s="109">
        <v>61</v>
      </c>
      <c r="L173" s="109">
        <v>60</v>
      </c>
      <c r="M173" s="191">
        <v>50</v>
      </c>
    </row>
    <row r="174" spans="1:13" ht="12.75">
      <c r="A174" s="236">
        <v>16</v>
      </c>
      <c r="B174" s="190">
        <v>67</v>
      </c>
      <c r="C174" s="109">
        <v>65</v>
      </c>
      <c r="D174" s="109">
        <v>55</v>
      </c>
      <c r="E174" s="109">
        <v>64</v>
      </c>
      <c r="F174" s="109">
        <v>63</v>
      </c>
      <c r="G174" s="109">
        <v>51</v>
      </c>
      <c r="H174" s="190">
        <v>86</v>
      </c>
      <c r="I174" s="109">
        <v>83</v>
      </c>
      <c r="J174" s="109">
        <v>71</v>
      </c>
      <c r="K174" s="109">
        <v>82</v>
      </c>
      <c r="L174" s="109">
        <v>80</v>
      </c>
      <c r="M174" s="191">
        <v>65</v>
      </c>
    </row>
    <row r="175" spans="1:13" ht="12.75">
      <c r="A175" s="236">
        <v>25</v>
      </c>
      <c r="B175" s="190">
        <v>93</v>
      </c>
      <c r="C175" s="109">
        <v>90</v>
      </c>
      <c r="D175" s="109">
        <v>75</v>
      </c>
      <c r="E175" s="109">
        <v>85</v>
      </c>
      <c r="F175" s="109">
        <v>82</v>
      </c>
      <c r="G175" s="109">
        <v>68</v>
      </c>
      <c r="H175" s="190">
        <v>120</v>
      </c>
      <c r="I175" s="109">
        <v>115</v>
      </c>
      <c r="J175" s="109">
        <v>96</v>
      </c>
      <c r="K175" s="109">
        <v>110</v>
      </c>
      <c r="L175" s="109">
        <v>105</v>
      </c>
      <c r="M175" s="191">
        <v>87</v>
      </c>
    </row>
    <row r="176" spans="1:13" ht="12.75">
      <c r="A176" s="236">
        <v>35</v>
      </c>
      <c r="B176" s="190">
        <v>115</v>
      </c>
      <c r="C176" s="109">
        <v>110</v>
      </c>
      <c r="D176" s="109">
        <v>90</v>
      </c>
      <c r="E176" s="109">
        <v>105</v>
      </c>
      <c r="F176" s="109">
        <v>100</v>
      </c>
      <c r="G176" s="109">
        <v>82</v>
      </c>
      <c r="H176" s="190">
        <v>145</v>
      </c>
      <c r="I176" s="109">
        <v>140</v>
      </c>
      <c r="J176" s="109">
        <v>115</v>
      </c>
      <c r="K176" s="109">
        <v>135</v>
      </c>
      <c r="L176" s="109">
        <v>130</v>
      </c>
      <c r="M176" s="191">
        <v>105</v>
      </c>
    </row>
    <row r="177" spans="1:13" ht="12.75">
      <c r="A177" s="236">
        <v>50</v>
      </c>
      <c r="B177" s="190">
        <v>140</v>
      </c>
      <c r="C177" s="109">
        <v>135</v>
      </c>
      <c r="D177" s="109">
        <v>115</v>
      </c>
      <c r="E177" s="109">
        <v>130</v>
      </c>
      <c r="F177" s="109">
        <v>125</v>
      </c>
      <c r="G177" s="109">
        <v>100</v>
      </c>
      <c r="H177" s="190">
        <v>180</v>
      </c>
      <c r="I177" s="109">
        <v>175</v>
      </c>
      <c r="J177" s="109">
        <v>145</v>
      </c>
      <c r="K177" s="109">
        <v>165</v>
      </c>
      <c r="L177" s="109">
        <v>160</v>
      </c>
      <c r="M177" s="191">
        <v>130</v>
      </c>
    </row>
    <row r="178" spans="1:13" ht="12.75">
      <c r="A178" s="236">
        <v>70</v>
      </c>
      <c r="B178" s="190">
        <v>180</v>
      </c>
      <c r="C178" s="109">
        <v>175</v>
      </c>
      <c r="D178" s="109">
        <v>145</v>
      </c>
      <c r="E178" s="109">
        <v>165</v>
      </c>
      <c r="F178" s="109">
        <v>155</v>
      </c>
      <c r="G178" s="109">
        <v>130</v>
      </c>
      <c r="H178" s="190">
        <v>230</v>
      </c>
      <c r="I178" s="109">
        <v>225</v>
      </c>
      <c r="J178" s="109">
        <v>185</v>
      </c>
      <c r="K178" s="109">
        <v>210</v>
      </c>
      <c r="L178" s="109">
        <v>220</v>
      </c>
      <c r="M178" s="191">
        <v>165</v>
      </c>
    </row>
    <row r="179" spans="1:13" ht="12.75">
      <c r="A179" s="236">
        <v>95</v>
      </c>
      <c r="B179" s="190">
        <v>220</v>
      </c>
      <c r="C179" s="109">
        <v>215</v>
      </c>
      <c r="D179" s="109">
        <v>180</v>
      </c>
      <c r="E179" s="109">
        <v>205</v>
      </c>
      <c r="F179" s="109">
        <v>195</v>
      </c>
      <c r="G179" s="109">
        <v>160</v>
      </c>
      <c r="H179" s="190">
        <v>285</v>
      </c>
      <c r="I179" s="109">
        <v>280</v>
      </c>
      <c r="J179" s="109">
        <v>235</v>
      </c>
      <c r="K179" s="109">
        <v>260</v>
      </c>
      <c r="L179" s="109">
        <v>250</v>
      </c>
      <c r="M179" s="191">
        <v>205</v>
      </c>
    </row>
    <row r="180" spans="1:13" ht="12.75">
      <c r="A180" s="236">
        <v>120</v>
      </c>
      <c r="B180" s="190">
        <v>260</v>
      </c>
      <c r="C180" s="109">
        <v>255</v>
      </c>
      <c r="D180" s="109">
        <v>215</v>
      </c>
      <c r="E180" s="109">
        <v>235</v>
      </c>
      <c r="F180" s="109">
        <v>225</v>
      </c>
      <c r="G180" s="109">
        <v>185</v>
      </c>
      <c r="H180" s="190">
        <v>335</v>
      </c>
      <c r="I180" s="109">
        <v>325</v>
      </c>
      <c r="J180" s="109">
        <v>275</v>
      </c>
      <c r="K180" s="109">
        <v>300</v>
      </c>
      <c r="L180" s="109">
        <v>290</v>
      </c>
      <c r="M180" s="191">
        <v>240</v>
      </c>
    </row>
    <row r="181" spans="1:13" ht="12.75">
      <c r="A181" s="236">
        <v>150</v>
      </c>
      <c r="B181" s="190">
        <v>300</v>
      </c>
      <c r="C181" s="109">
        <v>290</v>
      </c>
      <c r="D181" s="109">
        <v>245</v>
      </c>
      <c r="E181" s="109">
        <v>275</v>
      </c>
      <c r="F181" s="109">
        <v>260</v>
      </c>
      <c r="G181" s="109">
        <v>215</v>
      </c>
      <c r="H181" s="190">
        <v>385</v>
      </c>
      <c r="I181" s="109">
        <v>375</v>
      </c>
      <c r="J181" s="109">
        <v>315</v>
      </c>
      <c r="K181" s="109">
        <v>350</v>
      </c>
      <c r="L181" s="109">
        <v>335</v>
      </c>
      <c r="M181" s="191">
        <v>275</v>
      </c>
    </row>
    <row r="182" spans="1:13" ht="12.75">
      <c r="A182" s="236">
        <v>185</v>
      </c>
      <c r="B182" s="190">
        <v>350</v>
      </c>
      <c r="C182" s="109">
        <v>345</v>
      </c>
      <c r="D182" s="109">
        <v>285</v>
      </c>
      <c r="E182" s="109">
        <v>315</v>
      </c>
      <c r="F182" s="109">
        <v>300</v>
      </c>
      <c r="G182" s="109">
        <v>245</v>
      </c>
      <c r="H182" s="190">
        <v>450</v>
      </c>
      <c r="I182" s="109">
        <v>440</v>
      </c>
      <c r="J182" s="109">
        <v>365</v>
      </c>
      <c r="K182" s="109">
        <v>400</v>
      </c>
      <c r="L182" s="109">
        <v>385</v>
      </c>
      <c r="M182" s="191">
        <v>315</v>
      </c>
    </row>
    <row r="183" spans="1:13" ht="12.75">
      <c r="A183" s="236">
        <v>240</v>
      </c>
      <c r="B183" s="190">
        <v>420</v>
      </c>
      <c r="C183" s="109">
        <v>400</v>
      </c>
      <c r="D183" s="109">
        <v>340</v>
      </c>
      <c r="E183" s="109">
        <v>370</v>
      </c>
      <c r="F183" s="109">
        <v>360</v>
      </c>
      <c r="G183" s="109">
        <v>290</v>
      </c>
      <c r="H183" s="190">
        <v>535</v>
      </c>
      <c r="I183" s="109">
        <v>515</v>
      </c>
      <c r="J183" s="109">
        <v>435</v>
      </c>
      <c r="K183" s="109">
        <v>475</v>
      </c>
      <c r="L183" s="109">
        <v>460</v>
      </c>
      <c r="M183" s="191">
        <v>370</v>
      </c>
    </row>
    <row r="184" spans="1:13" ht="12.75">
      <c r="A184" s="236">
        <v>300</v>
      </c>
      <c r="B184" s="190">
        <v>480</v>
      </c>
      <c r="C184" s="109">
        <v>465</v>
      </c>
      <c r="D184" s="109">
        <v>390</v>
      </c>
      <c r="E184" s="109">
        <v>425</v>
      </c>
      <c r="F184" s="109">
        <v>405</v>
      </c>
      <c r="G184" s="109">
        <v>335</v>
      </c>
      <c r="H184" s="190">
        <v>615</v>
      </c>
      <c r="I184" s="109">
        <v>595</v>
      </c>
      <c r="J184" s="109">
        <v>500</v>
      </c>
      <c r="K184" s="109">
        <v>545</v>
      </c>
      <c r="L184" s="109">
        <v>520</v>
      </c>
      <c r="M184" s="191">
        <v>425</v>
      </c>
    </row>
    <row r="185" spans="1:13" ht="12.75">
      <c r="A185" s="236">
        <v>400</v>
      </c>
      <c r="B185" s="190">
        <v>560</v>
      </c>
      <c r="C185" s="109">
        <v>545</v>
      </c>
      <c r="D185" s="109">
        <v>455</v>
      </c>
      <c r="E185" s="109">
        <v>505</v>
      </c>
      <c r="F185" s="109">
        <v>475</v>
      </c>
      <c r="G185" s="109">
        <v>385</v>
      </c>
      <c r="H185" s="190">
        <v>720</v>
      </c>
      <c r="I185" s="109">
        <v>700</v>
      </c>
      <c r="J185" s="109">
        <v>585</v>
      </c>
      <c r="K185" s="109">
        <v>645</v>
      </c>
      <c r="L185" s="109">
        <v>610</v>
      </c>
      <c r="M185" s="191">
        <v>495</v>
      </c>
    </row>
    <row r="186" spans="1:13" ht="12.75">
      <c r="A186" s="239">
        <v>500</v>
      </c>
      <c r="B186" s="190">
        <v>645</v>
      </c>
      <c r="C186" s="109">
        <v>625</v>
      </c>
      <c r="D186" s="109">
        <v>520</v>
      </c>
      <c r="E186" s="109" t="s">
        <v>1</v>
      </c>
      <c r="F186" s="109" t="s">
        <v>1</v>
      </c>
      <c r="G186" s="109" t="s">
        <v>1</v>
      </c>
      <c r="H186" s="190">
        <v>825</v>
      </c>
      <c r="I186" s="109">
        <v>800</v>
      </c>
      <c r="J186" s="109">
        <v>665</v>
      </c>
      <c r="K186" s="109" t="s">
        <v>1</v>
      </c>
      <c r="L186" s="109" t="s">
        <v>1</v>
      </c>
      <c r="M186" s="191" t="s">
        <v>1</v>
      </c>
    </row>
    <row r="187" spans="1:13" ht="13.5" thickBot="1">
      <c r="A187" s="238">
        <v>630</v>
      </c>
      <c r="B187" s="192">
        <v>740</v>
      </c>
      <c r="C187" s="203">
        <v>715</v>
      </c>
      <c r="D187" s="203">
        <v>600</v>
      </c>
      <c r="E187" s="203" t="s">
        <v>1</v>
      </c>
      <c r="F187" s="203" t="s">
        <v>1</v>
      </c>
      <c r="G187" s="203" t="s">
        <v>1</v>
      </c>
      <c r="H187" s="192">
        <v>950</v>
      </c>
      <c r="I187" s="203">
        <v>915</v>
      </c>
      <c r="J187" s="203">
        <v>765</v>
      </c>
      <c r="K187" s="203" t="s">
        <v>1</v>
      </c>
      <c r="L187" s="203" t="s">
        <v>1</v>
      </c>
      <c r="M187" s="204" t="s">
        <v>1</v>
      </c>
    </row>
    <row r="188" ht="13.5" thickTop="1"/>
    <row r="189" ht="13.5" thickBot="1"/>
    <row r="190" spans="1:12" ht="13.5" thickTop="1">
      <c r="A190" s="205" t="s">
        <v>128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7"/>
    </row>
    <row r="191" spans="1:12" ht="12.75">
      <c r="A191" s="219" t="s">
        <v>129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20"/>
    </row>
    <row r="192" spans="1:12" ht="13.5" customHeight="1">
      <c r="A192" s="221" t="s">
        <v>84</v>
      </c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89"/>
    </row>
    <row r="193" spans="1:12" ht="12.75">
      <c r="A193" s="222" t="s">
        <v>85</v>
      </c>
      <c r="B193" s="109"/>
      <c r="C193" s="109"/>
      <c r="D193" s="109"/>
      <c r="E193" s="109"/>
      <c r="F193" s="109" t="s">
        <v>88</v>
      </c>
      <c r="G193" s="109" t="s">
        <v>89</v>
      </c>
      <c r="H193" s="109"/>
      <c r="I193" s="109"/>
      <c r="J193" s="109"/>
      <c r="K193" s="109"/>
      <c r="L193" s="191"/>
    </row>
    <row r="194" spans="1:12" ht="12.75">
      <c r="A194" s="222" t="s">
        <v>86</v>
      </c>
      <c r="B194" s="109" t="s">
        <v>88</v>
      </c>
      <c r="C194" s="109" t="s">
        <v>89</v>
      </c>
      <c r="D194" s="109"/>
      <c r="E194" s="109"/>
      <c r="F194" s="109" t="s">
        <v>149</v>
      </c>
      <c r="G194" s="109" t="s">
        <v>149</v>
      </c>
      <c r="H194" s="109"/>
      <c r="I194" s="109"/>
      <c r="J194" s="109"/>
      <c r="K194" s="109"/>
      <c r="L194" s="191"/>
    </row>
    <row r="195" spans="1:12" ht="12.75">
      <c r="A195" s="222" t="s">
        <v>87</v>
      </c>
      <c r="B195" s="109" t="s">
        <v>151</v>
      </c>
      <c r="C195" s="109" t="s">
        <v>151</v>
      </c>
      <c r="D195" s="109"/>
      <c r="E195" s="109"/>
      <c r="F195" s="109" t="s">
        <v>90</v>
      </c>
      <c r="G195" s="109" t="s">
        <v>90</v>
      </c>
      <c r="H195" s="109"/>
      <c r="I195" s="109"/>
      <c r="J195" s="109"/>
      <c r="K195" s="109"/>
      <c r="L195" s="191"/>
    </row>
    <row r="196" spans="1:12" ht="12.75">
      <c r="A196" s="222" t="s">
        <v>95</v>
      </c>
      <c r="B196" s="109"/>
      <c r="C196" s="109"/>
      <c r="D196" s="109"/>
      <c r="E196" s="109"/>
      <c r="F196" s="109" t="s">
        <v>150</v>
      </c>
      <c r="G196" s="109" t="s">
        <v>150</v>
      </c>
      <c r="H196" s="109"/>
      <c r="I196" s="109"/>
      <c r="J196" s="109"/>
      <c r="K196" s="109"/>
      <c r="L196" s="191"/>
    </row>
    <row r="197" spans="1:12" ht="12.75">
      <c r="A197" s="222" t="s">
        <v>96</v>
      </c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91"/>
    </row>
    <row r="198" spans="1:12" ht="12.75">
      <c r="A198" s="221" t="s">
        <v>91</v>
      </c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89"/>
    </row>
    <row r="199" spans="1:12" ht="12.75">
      <c r="A199" s="222" t="s">
        <v>92</v>
      </c>
      <c r="B199" s="109"/>
      <c r="C199" s="109"/>
      <c r="D199" s="109"/>
      <c r="E199" s="109" t="s">
        <v>88</v>
      </c>
      <c r="F199" s="109" t="s">
        <v>89</v>
      </c>
      <c r="G199" s="109"/>
      <c r="H199" s="109"/>
      <c r="I199" s="109"/>
      <c r="J199" s="109"/>
      <c r="K199" s="109"/>
      <c r="L199" s="191"/>
    </row>
    <row r="200" spans="1:12" ht="12.75">
      <c r="A200" s="222" t="s">
        <v>93</v>
      </c>
      <c r="B200" s="109" t="s">
        <v>88</v>
      </c>
      <c r="C200" s="109" t="s">
        <v>89</v>
      </c>
      <c r="D200" s="109"/>
      <c r="E200" s="109" t="s">
        <v>149</v>
      </c>
      <c r="F200" s="109" t="s">
        <v>149</v>
      </c>
      <c r="G200" s="109"/>
      <c r="H200" s="109"/>
      <c r="I200" s="109"/>
      <c r="J200" s="109"/>
      <c r="K200" s="109"/>
      <c r="L200" s="191"/>
    </row>
    <row r="201" spans="1:12" ht="12.75">
      <c r="A201" s="222" t="s">
        <v>97</v>
      </c>
      <c r="B201" s="109" t="s">
        <v>151</v>
      </c>
      <c r="C201" s="109" t="s">
        <v>151</v>
      </c>
      <c r="D201" s="109"/>
      <c r="E201" s="109" t="s">
        <v>90</v>
      </c>
      <c r="F201" s="109" t="s">
        <v>90</v>
      </c>
      <c r="G201" s="109"/>
      <c r="H201" s="109"/>
      <c r="I201" s="109"/>
      <c r="J201" s="109"/>
      <c r="K201" s="109"/>
      <c r="L201" s="191"/>
    </row>
    <row r="202" spans="1:12" ht="12.75">
      <c r="A202" s="222" t="s">
        <v>98</v>
      </c>
      <c r="B202" s="109"/>
      <c r="C202" s="109"/>
      <c r="D202" s="109"/>
      <c r="E202" s="109" t="s">
        <v>150</v>
      </c>
      <c r="F202" s="109" t="s">
        <v>150</v>
      </c>
      <c r="G202" s="109"/>
      <c r="H202" s="109"/>
      <c r="I202" s="109"/>
      <c r="J202" s="109"/>
      <c r="K202" s="109"/>
      <c r="L202" s="191"/>
    </row>
    <row r="203" spans="1:12" ht="12.75">
      <c r="A203" s="222" t="s">
        <v>96</v>
      </c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91"/>
    </row>
    <row r="204" spans="1:12" ht="12.75">
      <c r="A204" s="221" t="s">
        <v>84</v>
      </c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89"/>
    </row>
    <row r="205" spans="1:12" ht="12.75">
      <c r="A205" s="222" t="s">
        <v>99</v>
      </c>
      <c r="B205" s="109"/>
      <c r="C205" s="109"/>
      <c r="D205" s="109"/>
      <c r="E205" s="109"/>
      <c r="F205" s="109"/>
      <c r="G205" s="109"/>
      <c r="H205" s="109"/>
      <c r="I205" s="109" t="s">
        <v>88</v>
      </c>
      <c r="J205" s="109" t="s">
        <v>89</v>
      </c>
      <c r="K205" s="109"/>
      <c r="L205" s="191"/>
    </row>
    <row r="206" spans="1:12" ht="12.75">
      <c r="A206" s="222" t="s">
        <v>106</v>
      </c>
      <c r="B206" s="109"/>
      <c r="C206" s="109"/>
      <c r="D206" s="109"/>
      <c r="E206" s="109" t="s">
        <v>88</v>
      </c>
      <c r="F206" s="109" t="s">
        <v>89</v>
      </c>
      <c r="G206" s="109"/>
      <c r="H206" s="109"/>
      <c r="I206" s="109" t="s">
        <v>149</v>
      </c>
      <c r="J206" s="109" t="s">
        <v>149</v>
      </c>
      <c r="K206" s="109"/>
      <c r="L206" s="191"/>
    </row>
    <row r="207" spans="1:12" ht="12.75">
      <c r="A207" s="222" t="s">
        <v>100</v>
      </c>
      <c r="B207" s="109"/>
      <c r="C207" s="109"/>
      <c r="D207" s="109"/>
      <c r="E207" s="109" t="s">
        <v>151</v>
      </c>
      <c r="F207" s="109" t="s">
        <v>151</v>
      </c>
      <c r="G207" s="109"/>
      <c r="H207" s="109"/>
      <c r="I207" s="109" t="s">
        <v>90</v>
      </c>
      <c r="J207" s="109" t="s">
        <v>90</v>
      </c>
      <c r="K207" s="109"/>
      <c r="L207" s="191"/>
    </row>
    <row r="208" spans="1:12" ht="12.75">
      <c r="A208" s="222" t="s">
        <v>101</v>
      </c>
      <c r="B208" s="109"/>
      <c r="C208" s="109"/>
      <c r="D208" s="109"/>
      <c r="E208" s="109"/>
      <c r="F208" s="109"/>
      <c r="G208" s="109"/>
      <c r="H208" s="109"/>
      <c r="I208" s="109" t="s">
        <v>150</v>
      </c>
      <c r="J208" s="109" t="s">
        <v>150</v>
      </c>
      <c r="K208" s="109"/>
      <c r="L208" s="191"/>
    </row>
    <row r="209" spans="1:12" ht="12.75">
      <c r="A209" s="222" t="s">
        <v>94</v>
      </c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91"/>
    </row>
    <row r="210" spans="1:12" ht="12.75">
      <c r="A210" s="223" t="s">
        <v>102</v>
      </c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224"/>
    </row>
    <row r="211" spans="1:12" ht="12.75">
      <c r="A211" s="221" t="s">
        <v>91</v>
      </c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89"/>
    </row>
    <row r="212" spans="1:12" ht="12.75">
      <c r="A212" s="222" t="s">
        <v>103</v>
      </c>
      <c r="B212" s="109"/>
      <c r="C212" s="109"/>
      <c r="D212" s="109"/>
      <c r="E212" s="109"/>
      <c r="F212" s="109"/>
      <c r="G212" s="109" t="s">
        <v>88</v>
      </c>
      <c r="H212" s="109"/>
      <c r="I212" s="109" t="s">
        <v>89</v>
      </c>
      <c r="J212" s="109"/>
      <c r="K212" s="109"/>
      <c r="L212" s="191"/>
    </row>
    <row r="213" spans="1:12" ht="12.75">
      <c r="A213" s="222" t="s">
        <v>107</v>
      </c>
      <c r="B213" s="109"/>
      <c r="C213" s="109"/>
      <c r="D213" s="109" t="s">
        <v>88</v>
      </c>
      <c r="E213" s="109" t="s">
        <v>89</v>
      </c>
      <c r="F213" s="109"/>
      <c r="G213" s="109" t="s">
        <v>149</v>
      </c>
      <c r="H213" s="109"/>
      <c r="I213" s="109" t="s">
        <v>149</v>
      </c>
      <c r="J213" s="109"/>
      <c r="K213" s="109"/>
      <c r="L213" s="191"/>
    </row>
    <row r="214" spans="1:12" ht="12.75">
      <c r="A214" s="222" t="s">
        <v>109</v>
      </c>
      <c r="B214" s="109"/>
      <c r="C214" s="109"/>
      <c r="D214" s="109" t="s">
        <v>151</v>
      </c>
      <c r="E214" s="109" t="s">
        <v>151</v>
      </c>
      <c r="F214" s="109"/>
      <c r="G214" s="109" t="s">
        <v>90</v>
      </c>
      <c r="H214" s="109"/>
      <c r="I214" s="109" t="s">
        <v>90</v>
      </c>
      <c r="J214" s="109"/>
      <c r="K214" s="109"/>
      <c r="L214" s="191"/>
    </row>
    <row r="215" spans="1:12" ht="12.75">
      <c r="A215" s="222" t="s">
        <v>108</v>
      </c>
      <c r="B215" s="109"/>
      <c r="C215" s="109"/>
      <c r="D215" s="109"/>
      <c r="E215" s="109"/>
      <c r="F215" s="109"/>
      <c r="G215" s="109" t="s">
        <v>150</v>
      </c>
      <c r="H215" s="109"/>
      <c r="I215" s="109" t="s">
        <v>150</v>
      </c>
      <c r="J215" s="109"/>
      <c r="K215" s="109"/>
      <c r="L215" s="191"/>
    </row>
    <row r="216" spans="1:12" ht="12.75">
      <c r="A216" s="222" t="s">
        <v>94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91"/>
    </row>
    <row r="217" spans="1:12" ht="12.75">
      <c r="A217" s="223" t="s">
        <v>102</v>
      </c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224"/>
    </row>
    <row r="218" spans="1:12" ht="12.75">
      <c r="A218" s="221" t="s">
        <v>91</v>
      </c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89"/>
    </row>
    <row r="219" spans="1:12" ht="12.75">
      <c r="A219" s="222" t="s">
        <v>103</v>
      </c>
      <c r="B219" s="109"/>
      <c r="C219" s="109"/>
      <c r="D219" s="109"/>
      <c r="E219" s="109"/>
      <c r="F219" s="109"/>
      <c r="G219" s="109"/>
      <c r="H219" s="109"/>
      <c r="I219" s="109" t="s">
        <v>88</v>
      </c>
      <c r="J219" s="109" t="s">
        <v>89</v>
      </c>
      <c r="K219" s="109"/>
      <c r="L219" s="191"/>
    </row>
    <row r="220" spans="1:12" ht="12.75">
      <c r="A220" s="222" t="s">
        <v>104</v>
      </c>
      <c r="B220" s="109"/>
      <c r="C220" s="109"/>
      <c r="D220" s="109"/>
      <c r="E220" s="109"/>
      <c r="F220" s="109" t="s">
        <v>88</v>
      </c>
      <c r="G220" s="109" t="s">
        <v>89</v>
      </c>
      <c r="H220" s="109"/>
      <c r="I220" s="109" t="s">
        <v>149</v>
      </c>
      <c r="J220" s="109" t="s">
        <v>149</v>
      </c>
      <c r="K220" s="109"/>
      <c r="L220" s="191"/>
    </row>
    <row r="221" spans="1:12" ht="12.75">
      <c r="A221" s="222" t="s">
        <v>105</v>
      </c>
      <c r="B221" s="109"/>
      <c r="C221" s="109"/>
      <c r="D221" s="109"/>
      <c r="E221" s="109"/>
      <c r="F221" s="109" t="s">
        <v>151</v>
      </c>
      <c r="G221" s="109" t="s">
        <v>151</v>
      </c>
      <c r="H221" s="109"/>
      <c r="I221" s="109" t="s">
        <v>90</v>
      </c>
      <c r="J221" s="109" t="s">
        <v>90</v>
      </c>
      <c r="K221" s="109"/>
      <c r="L221" s="191"/>
    </row>
    <row r="222" spans="1:12" ht="12.75">
      <c r="A222" s="222" t="s">
        <v>110</v>
      </c>
      <c r="B222" s="109"/>
      <c r="C222" s="109"/>
      <c r="D222" s="109"/>
      <c r="E222" s="109"/>
      <c r="F222" s="109"/>
      <c r="G222" s="109"/>
      <c r="H222" s="109"/>
      <c r="I222" s="109" t="s">
        <v>150</v>
      </c>
      <c r="J222" s="109" t="s">
        <v>150</v>
      </c>
      <c r="K222" s="109"/>
      <c r="L222" s="191"/>
    </row>
    <row r="223" spans="1:12" ht="12.75">
      <c r="A223" s="221" t="s">
        <v>91</v>
      </c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89"/>
    </row>
    <row r="224" spans="1:12" ht="12.75">
      <c r="A224" s="222" t="s">
        <v>103</v>
      </c>
      <c r="B224" s="109"/>
      <c r="C224" s="109"/>
      <c r="D224" s="109"/>
      <c r="E224" s="109"/>
      <c r="F224" s="109"/>
      <c r="G224" s="109"/>
      <c r="H224" s="109"/>
      <c r="I224" s="109"/>
      <c r="J224" s="109" t="s">
        <v>88</v>
      </c>
      <c r="K224" s="109" t="s">
        <v>89</v>
      </c>
      <c r="L224" s="191"/>
    </row>
    <row r="225" spans="1:12" ht="12.75">
      <c r="A225" s="222" t="s">
        <v>111</v>
      </c>
      <c r="B225" s="109"/>
      <c r="C225" s="109"/>
      <c r="D225" s="109"/>
      <c r="E225" s="109"/>
      <c r="F225" s="109"/>
      <c r="G225" s="109" t="s">
        <v>88</v>
      </c>
      <c r="H225" s="109"/>
      <c r="I225" s="109" t="s">
        <v>89</v>
      </c>
      <c r="J225" s="109" t="s">
        <v>149</v>
      </c>
      <c r="K225" s="109" t="s">
        <v>149</v>
      </c>
      <c r="L225" s="191"/>
    </row>
    <row r="226" spans="1:12" ht="12.75">
      <c r="A226" s="222" t="s">
        <v>112</v>
      </c>
      <c r="B226" s="109"/>
      <c r="C226" s="109"/>
      <c r="D226" s="109"/>
      <c r="E226" s="109"/>
      <c r="F226" s="109"/>
      <c r="G226" s="109" t="s">
        <v>151</v>
      </c>
      <c r="H226" s="109"/>
      <c r="I226" s="109" t="s">
        <v>151</v>
      </c>
      <c r="J226" s="109" t="s">
        <v>90</v>
      </c>
      <c r="K226" s="109" t="s">
        <v>90</v>
      </c>
      <c r="L226" s="191"/>
    </row>
    <row r="227" spans="1:12" ht="12.75">
      <c r="A227" s="222" t="s">
        <v>113</v>
      </c>
      <c r="B227" s="109"/>
      <c r="C227" s="109"/>
      <c r="D227" s="109"/>
      <c r="E227" s="109"/>
      <c r="F227" s="109"/>
      <c r="G227" s="109"/>
      <c r="H227" s="109"/>
      <c r="I227" s="109"/>
      <c r="J227" s="109" t="s">
        <v>150</v>
      </c>
      <c r="K227" s="109" t="s">
        <v>150</v>
      </c>
      <c r="L227" s="191"/>
    </row>
    <row r="228" spans="1:12" ht="12.75">
      <c r="A228" s="222" t="s">
        <v>114</v>
      </c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91"/>
    </row>
    <row r="229" spans="1:12" ht="12.75">
      <c r="A229" s="223" t="s">
        <v>115</v>
      </c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224"/>
    </row>
    <row r="230" spans="1:12" ht="12.75">
      <c r="A230" s="221" t="s">
        <v>91</v>
      </c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89"/>
    </row>
    <row r="231" spans="1:12" ht="12.75">
      <c r="A231" s="222" t="s">
        <v>117</v>
      </c>
      <c r="B231" s="109"/>
      <c r="C231" s="109"/>
      <c r="D231" s="109"/>
      <c r="E231" s="109"/>
      <c r="F231" s="109"/>
      <c r="G231" s="109"/>
      <c r="H231" s="109"/>
      <c r="I231" s="109"/>
      <c r="J231" s="109"/>
      <c r="K231" s="109" t="s">
        <v>88</v>
      </c>
      <c r="L231" s="191"/>
    </row>
    <row r="232" spans="1:12" ht="12.75">
      <c r="A232" s="222" t="s">
        <v>118</v>
      </c>
      <c r="B232" s="109"/>
      <c r="C232" s="109"/>
      <c r="D232" s="109"/>
      <c r="E232" s="109"/>
      <c r="F232" s="109"/>
      <c r="G232" s="109"/>
      <c r="H232" s="109" t="s">
        <v>88</v>
      </c>
      <c r="I232" s="109"/>
      <c r="J232" s="109"/>
      <c r="K232" s="109" t="s">
        <v>149</v>
      </c>
      <c r="L232" s="191"/>
    </row>
    <row r="233" spans="1:12" ht="12.75">
      <c r="A233" s="222" t="s">
        <v>119</v>
      </c>
      <c r="B233" s="109"/>
      <c r="C233" s="109"/>
      <c r="D233" s="109"/>
      <c r="E233" s="109"/>
      <c r="F233" s="109"/>
      <c r="G233" s="109"/>
      <c r="H233" s="109" t="s">
        <v>151</v>
      </c>
      <c r="I233" s="109"/>
      <c r="J233" s="109"/>
      <c r="K233" s="109" t="s">
        <v>90</v>
      </c>
      <c r="L233" s="191"/>
    </row>
    <row r="234" spans="1:12" ht="12.75">
      <c r="A234" s="222" t="s">
        <v>120</v>
      </c>
      <c r="B234" s="109"/>
      <c r="C234" s="109"/>
      <c r="D234" s="109"/>
      <c r="E234" s="109"/>
      <c r="F234" s="109"/>
      <c r="G234" s="109"/>
      <c r="H234" s="109"/>
      <c r="I234" s="109"/>
      <c r="J234" s="109"/>
      <c r="K234" s="109" t="s">
        <v>123</v>
      </c>
      <c r="L234" s="191"/>
    </row>
    <row r="235" spans="1:12" ht="12.75">
      <c r="A235" s="222" t="s">
        <v>121</v>
      </c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91"/>
    </row>
    <row r="236" spans="1:12" ht="12.75">
      <c r="A236" s="223" t="s">
        <v>122</v>
      </c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224"/>
    </row>
    <row r="237" spans="1:12" ht="12.75">
      <c r="A237" s="221" t="s">
        <v>91</v>
      </c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1" t="s">
        <v>88</v>
      </c>
    </row>
    <row r="238" spans="1:12" ht="12.75">
      <c r="A238" s="222" t="s">
        <v>116</v>
      </c>
      <c r="B238" s="109"/>
      <c r="C238" s="109"/>
      <c r="D238" s="109"/>
      <c r="E238" s="109"/>
      <c r="F238" s="109"/>
      <c r="G238" s="109"/>
      <c r="H238" s="109"/>
      <c r="I238" s="109"/>
      <c r="J238" s="109"/>
      <c r="K238" s="109" t="s">
        <v>88</v>
      </c>
      <c r="L238" s="191" t="s">
        <v>149</v>
      </c>
    </row>
    <row r="239" spans="1:12" ht="12.75">
      <c r="A239" s="222" t="s">
        <v>124</v>
      </c>
      <c r="B239" s="109"/>
      <c r="C239" s="109"/>
      <c r="D239" s="109"/>
      <c r="E239" s="109"/>
      <c r="F239" s="109"/>
      <c r="G239" s="109"/>
      <c r="H239" s="109"/>
      <c r="I239" s="109"/>
      <c r="J239" s="109"/>
      <c r="K239" s="109" t="s">
        <v>126</v>
      </c>
      <c r="L239" s="191" t="s">
        <v>90</v>
      </c>
    </row>
    <row r="240" spans="1:12" ht="13.5" thickBot="1">
      <c r="A240" s="222" t="s">
        <v>125</v>
      </c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91" t="s">
        <v>150</v>
      </c>
    </row>
    <row r="241" spans="1:12" ht="15" thickBot="1" thickTop="1">
      <c r="A241" s="240" t="s">
        <v>127</v>
      </c>
      <c r="B241" s="218">
        <v>1</v>
      </c>
      <c r="C241" s="218">
        <v>2</v>
      </c>
      <c r="D241" s="218">
        <v>3</v>
      </c>
      <c r="E241" s="218">
        <v>4</v>
      </c>
      <c r="F241" s="218">
        <v>5</v>
      </c>
      <c r="G241" s="218">
        <v>6</v>
      </c>
      <c r="H241" s="218">
        <v>7</v>
      </c>
      <c r="I241" s="218">
        <v>8</v>
      </c>
      <c r="J241" s="218">
        <v>9</v>
      </c>
      <c r="K241" s="218">
        <v>10</v>
      </c>
      <c r="L241" s="225">
        <v>11</v>
      </c>
    </row>
    <row r="242" spans="1:12" ht="13.5" thickTop="1">
      <c r="A242" s="226">
        <v>1.5</v>
      </c>
      <c r="B242" s="80">
        <v>11</v>
      </c>
      <c r="C242" s="80">
        <v>11.5</v>
      </c>
      <c r="D242" s="80">
        <v>13</v>
      </c>
      <c r="E242" s="80">
        <v>13.5</v>
      </c>
      <c r="F242" s="80">
        <v>15</v>
      </c>
      <c r="G242" s="80">
        <v>16</v>
      </c>
      <c r="H242" s="80" t="s">
        <v>1</v>
      </c>
      <c r="I242" s="80">
        <v>18</v>
      </c>
      <c r="J242" s="80">
        <v>21</v>
      </c>
      <c r="K242" s="80">
        <v>24</v>
      </c>
      <c r="L242" s="227" t="s">
        <v>1</v>
      </c>
    </row>
    <row r="243" spans="1:12" ht="12.75">
      <c r="A243" s="228">
        <v>2.5</v>
      </c>
      <c r="B243" s="217">
        <v>15</v>
      </c>
      <c r="C243" s="217">
        <v>16</v>
      </c>
      <c r="D243" s="217">
        <v>17.5</v>
      </c>
      <c r="E243" s="217">
        <v>18.5</v>
      </c>
      <c r="F243" s="217">
        <v>21</v>
      </c>
      <c r="G243" s="217">
        <v>22</v>
      </c>
      <c r="H243" s="217" t="s">
        <v>1</v>
      </c>
      <c r="I243" s="217">
        <v>25</v>
      </c>
      <c r="J243" s="217">
        <v>29</v>
      </c>
      <c r="K243" s="217">
        <v>33</v>
      </c>
      <c r="L243" s="229" t="s">
        <v>1</v>
      </c>
    </row>
    <row r="244" spans="1:12" ht="12.75">
      <c r="A244" s="230">
        <v>4</v>
      </c>
      <c r="B244" s="215">
        <v>29</v>
      </c>
      <c r="C244" s="215">
        <v>21</v>
      </c>
      <c r="D244" s="215">
        <v>23</v>
      </c>
      <c r="E244" s="215">
        <v>24</v>
      </c>
      <c r="F244" s="215">
        <v>27</v>
      </c>
      <c r="G244" s="215">
        <v>30</v>
      </c>
      <c r="H244" s="215" t="s">
        <v>1</v>
      </c>
      <c r="I244" s="215">
        <v>34</v>
      </c>
      <c r="J244" s="215">
        <v>38</v>
      </c>
      <c r="K244" s="215">
        <v>45</v>
      </c>
      <c r="L244" s="231" t="s">
        <v>1</v>
      </c>
    </row>
    <row r="245" spans="1:12" ht="12.75">
      <c r="A245" s="228">
        <v>6</v>
      </c>
      <c r="B245" s="217">
        <v>25</v>
      </c>
      <c r="C245" s="217">
        <v>27</v>
      </c>
      <c r="D245" s="217">
        <v>30</v>
      </c>
      <c r="E245" s="217">
        <v>32</v>
      </c>
      <c r="F245" s="217">
        <v>36</v>
      </c>
      <c r="G245" s="217">
        <v>37</v>
      </c>
      <c r="H245" s="217" t="s">
        <v>1</v>
      </c>
      <c r="I245" s="217">
        <v>44</v>
      </c>
      <c r="J245" s="217">
        <v>49</v>
      </c>
      <c r="K245" s="217">
        <v>57</v>
      </c>
      <c r="L245" s="229" t="s">
        <v>1</v>
      </c>
    </row>
    <row r="246" spans="1:12" ht="12.75">
      <c r="A246" s="230">
        <v>10</v>
      </c>
      <c r="B246" s="215">
        <v>34</v>
      </c>
      <c r="C246" s="215">
        <v>37</v>
      </c>
      <c r="D246" s="215">
        <v>40</v>
      </c>
      <c r="E246" s="215">
        <v>44</v>
      </c>
      <c r="F246" s="215">
        <v>50</v>
      </c>
      <c r="G246" s="215">
        <v>52</v>
      </c>
      <c r="H246" s="215" t="s">
        <v>1</v>
      </c>
      <c r="I246" s="215">
        <v>60</v>
      </c>
      <c r="J246" s="215">
        <v>68</v>
      </c>
      <c r="K246" s="215">
        <v>76</v>
      </c>
      <c r="L246" s="231" t="s">
        <v>1</v>
      </c>
    </row>
    <row r="247" spans="1:12" ht="12.75">
      <c r="A247" s="228">
        <v>16</v>
      </c>
      <c r="B247" s="217">
        <v>45</v>
      </c>
      <c r="C247" s="217">
        <v>49</v>
      </c>
      <c r="D247" s="217">
        <v>54</v>
      </c>
      <c r="E247" s="217">
        <v>59</v>
      </c>
      <c r="F247" s="217">
        <v>66</v>
      </c>
      <c r="G247" s="217">
        <v>70</v>
      </c>
      <c r="H247" s="217" t="s">
        <v>1</v>
      </c>
      <c r="I247" s="217">
        <v>80</v>
      </c>
      <c r="J247" s="217">
        <v>91</v>
      </c>
      <c r="K247" s="217">
        <v>105</v>
      </c>
      <c r="L247" s="229" t="s">
        <v>1</v>
      </c>
    </row>
    <row r="248" spans="1:12" ht="12.75">
      <c r="A248" s="230">
        <v>25</v>
      </c>
      <c r="B248" s="215">
        <v>59</v>
      </c>
      <c r="C248" s="215">
        <v>64</v>
      </c>
      <c r="D248" s="215">
        <v>70</v>
      </c>
      <c r="E248" s="215">
        <v>77</v>
      </c>
      <c r="F248" s="215">
        <v>84</v>
      </c>
      <c r="G248" s="215">
        <v>88</v>
      </c>
      <c r="H248" s="215">
        <v>96</v>
      </c>
      <c r="I248" s="215">
        <v>106</v>
      </c>
      <c r="J248" s="215">
        <v>116</v>
      </c>
      <c r="K248" s="215">
        <v>123</v>
      </c>
      <c r="L248" s="231">
        <v>166</v>
      </c>
    </row>
    <row r="249" spans="1:12" ht="12.75">
      <c r="A249" s="228">
        <v>35</v>
      </c>
      <c r="B249" s="217"/>
      <c r="C249" s="217">
        <v>77</v>
      </c>
      <c r="D249" s="217">
        <v>86</v>
      </c>
      <c r="E249" s="217">
        <v>96</v>
      </c>
      <c r="F249" s="217">
        <v>104</v>
      </c>
      <c r="G249" s="217">
        <v>110</v>
      </c>
      <c r="H249" s="217">
        <v>119</v>
      </c>
      <c r="I249" s="217">
        <v>131</v>
      </c>
      <c r="J249" s="217">
        <v>144</v>
      </c>
      <c r="K249" s="217">
        <v>154</v>
      </c>
      <c r="L249" s="229">
        <v>206</v>
      </c>
    </row>
    <row r="250" spans="1:12" ht="12.75">
      <c r="A250" s="230">
        <v>50</v>
      </c>
      <c r="B250" s="215"/>
      <c r="C250" s="215">
        <v>94</v>
      </c>
      <c r="D250" s="215">
        <v>103</v>
      </c>
      <c r="E250" s="215">
        <v>117</v>
      </c>
      <c r="F250" s="215">
        <v>125</v>
      </c>
      <c r="G250" s="215">
        <v>133</v>
      </c>
      <c r="H250" s="215">
        <v>145</v>
      </c>
      <c r="I250" s="215">
        <v>159</v>
      </c>
      <c r="J250" s="215">
        <v>175</v>
      </c>
      <c r="K250" s="215">
        <v>188</v>
      </c>
      <c r="L250" s="231">
        <v>250</v>
      </c>
    </row>
    <row r="251" spans="1:12" ht="12.75">
      <c r="A251" s="228">
        <v>70</v>
      </c>
      <c r="B251" s="217"/>
      <c r="C251" s="217"/>
      <c r="D251" s="217"/>
      <c r="E251" s="217">
        <v>149</v>
      </c>
      <c r="F251" s="217">
        <v>160</v>
      </c>
      <c r="G251" s="217">
        <v>171</v>
      </c>
      <c r="H251" s="217">
        <v>188</v>
      </c>
      <c r="I251" s="217">
        <v>202</v>
      </c>
      <c r="J251" s="217">
        <v>224</v>
      </c>
      <c r="K251" s="217">
        <v>244</v>
      </c>
      <c r="L251" s="229">
        <v>321</v>
      </c>
    </row>
    <row r="252" spans="1:12" ht="12.75">
      <c r="A252" s="230">
        <v>95</v>
      </c>
      <c r="B252" s="215"/>
      <c r="C252" s="215"/>
      <c r="D252" s="215"/>
      <c r="E252" s="215">
        <v>180</v>
      </c>
      <c r="F252" s="215">
        <v>194</v>
      </c>
      <c r="G252" s="215">
        <v>207</v>
      </c>
      <c r="H252" s="215">
        <v>230</v>
      </c>
      <c r="I252" s="215">
        <v>245</v>
      </c>
      <c r="J252" s="215">
        <v>271</v>
      </c>
      <c r="K252" s="215">
        <v>296</v>
      </c>
      <c r="L252" s="231">
        <v>391</v>
      </c>
    </row>
    <row r="253" spans="1:12" ht="12.75">
      <c r="A253" s="228">
        <v>120</v>
      </c>
      <c r="B253" s="217"/>
      <c r="C253" s="217"/>
      <c r="D253" s="217"/>
      <c r="E253" s="217">
        <v>208</v>
      </c>
      <c r="F253" s="217">
        <v>225</v>
      </c>
      <c r="G253" s="217">
        <v>240</v>
      </c>
      <c r="H253" s="217">
        <v>267</v>
      </c>
      <c r="I253" s="217">
        <v>284</v>
      </c>
      <c r="J253" s="217">
        <v>314</v>
      </c>
      <c r="K253" s="217">
        <v>348</v>
      </c>
      <c r="L253" s="229">
        <v>455</v>
      </c>
    </row>
    <row r="254" spans="1:12" ht="12.75">
      <c r="A254" s="230">
        <v>150</v>
      </c>
      <c r="B254" s="215"/>
      <c r="C254" s="215"/>
      <c r="D254" s="215"/>
      <c r="E254" s="215">
        <v>236</v>
      </c>
      <c r="F254" s="215">
        <v>260</v>
      </c>
      <c r="G254" s="215">
        <v>278</v>
      </c>
      <c r="H254" s="215">
        <v>310</v>
      </c>
      <c r="I254" s="215">
        <v>338</v>
      </c>
      <c r="J254" s="215">
        <v>363</v>
      </c>
      <c r="K254" s="215">
        <v>404</v>
      </c>
      <c r="L254" s="231">
        <v>525</v>
      </c>
    </row>
    <row r="255" spans="1:12" ht="12.75">
      <c r="A255" s="228">
        <v>185</v>
      </c>
      <c r="B255" s="217"/>
      <c r="C255" s="217"/>
      <c r="D255" s="217"/>
      <c r="E255" s="217">
        <v>268</v>
      </c>
      <c r="F255" s="217">
        <v>297</v>
      </c>
      <c r="G255" s="217">
        <v>317</v>
      </c>
      <c r="H255" s="217">
        <v>354</v>
      </c>
      <c r="I255" s="217">
        <v>386</v>
      </c>
      <c r="J255" s="217">
        <v>415</v>
      </c>
      <c r="K255" s="217">
        <v>464</v>
      </c>
      <c r="L255" s="229">
        <v>601</v>
      </c>
    </row>
    <row r="256" spans="1:12" ht="12.75">
      <c r="A256" s="230">
        <v>240</v>
      </c>
      <c r="B256" s="215"/>
      <c r="C256" s="215"/>
      <c r="D256" s="215"/>
      <c r="E256" s="215">
        <v>315</v>
      </c>
      <c r="F256" s="215">
        <v>350</v>
      </c>
      <c r="G256" s="215">
        <v>374</v>
      </c>
      <c r="H256" s="215">
        <v>419</v>
      </c>
      <c r="I256" s="215">
        <v>455</v>
      </c>
      <c r="J256" s="215">
        <v>490</v>
      </c>
      <c r="K256" s="215">
        <v>552</v>
      </c>
      <c r="L256" s="231">
        <v>711</v>
      </c>
    </row>
    <row r="257" spans="1:12" ht="13.5" thickBot="1">
      <c r="A257" s="232">
        <v>300</v>
      </c>
      <c r="B257" s="233"/>
      <c r="C257" s="233"/>
      <c r="D257" s="233"/>
      <c r="E257" s="233">
        <v>360</v>
      </c>
      <c r="F257" s="233">
        <v>404</v>
      </c>
      <c r="G257" s="233">
        <v>423</v>
      </c>
      <c r="H257" s="233">
        <v>484</v>
      </c>
      <c r="I257" s="233">
        <v>524</v>
      </c>
      <c r="J257" s="233">
        <v>565</v>
      </c>
      <c r="K257" s="233">
        <v>640</v>
      </c>
      <c r="L257" s="234">
        <v>821</v>
      </c>
    </row>
    <row r="258" ht="13.5" thickTop="1"/>
  </sheetData>
  <sheetProtection/>
  <mergeCells count="11">
    <mergeCell ref="BE18:BG18"/>
    <mergeCell ref="AV17:BD17"/>
    <mergeCell ref="AV18:AW18"/>
    <mergeCell ref="AX18:AY18"/>
    <mergeCell ref="AZ18:BA18"/>
    <mergeCell ref="BB18:BD18"/>
    <mergeCell ref="AJ17:AT17"/>
    <mergeCell ref="AJ18:AK18"/>
    <mergeCell ref="AM18:AN18"/>
    <mergeCell ref="AP18:AQ18"/>
    <mergeCell ref="AS18:AT18"/>
  </mergeCells>
  <conditionalFormatting sqref="BY101:BY102">
    <cfRule type="cellIs" priority="1" dxfId="6" operator="lessThan" stopIfTrue="1">
      <formula>Hoja1!$BX$20</formula>
    </cfRule>
  </conditionalFormatting>
  <conditionalFormatting sqref="BY20:BY100">
    <cfRule type="cellIs" priority="2" dxfId="6" operator="lessThan" stopIfTrue="1">
      <formula>Hoja1!#REF!</formula>
    </cfRule>
  </conditionalFormatting>
  <conditionalFormatting sqref="G13:J13 AG20:AG100 BH20:BJ100 L8:O8 R8:V8 AI20:AI100 BU20:BU100 BQ20:BQ100 BS20:BS100">
    <cfRule type="cellIs" priority="3" dxfId="6" operator="greaterThan" stopIfTrue="1">
      <formula>Hoja1!$D$7</formula>
    </cfRule>
  </conditionalFormatting>
  <conditionalFormatting sqref="AE20:AE100">
    <cfRule type="cellIs" priority="4" dxfId="6" operator="greaterThan" stopIfTrue="1">
      <formula>Hoja1!#REF!</formula>
    </cfRule>
  </conditionalFormatting>
  <conditionalFormatting sqref="BL20:BL100">
    <cfRule type="cellIs" priority="5" dxfId="6" operator="greaterThan" stopIfTrue="1">
      <formula>Hoja1!#REF!</formula>
    </cfRule>
  </conditionalFormatting>
  <conditionalFormatting sqref="BO20:BO100">
    <cfRule type="cellIs" priority="6" dxfId="6" operator="greaterThan" stopIfTrue="1">
      <formula>Hoja1!#REF!</formula>
    </cfRule>
  </conditionalFormatting>
  <dataValidations count="12">
    <dataValidation type="list" allowBlank="1" showInputMessage="1" showErrorMessage="1" sqref="D20:D99">
      <formula1>Hoja1!$A$104:$A$107</formula1>
    </dataValidation>
    <dataValidation type="list" allowBlank="1" showInputMessage="1" showErrorMessage="1" sqref="G20:G100">
      <formula1>Hoja1!$B$104:$B$106</formula1>
    </dataValidation>
    <dataValidation type="list" allowBlank="1" showInputMessage="1" showErrorMessage="1" sqref="P101:T102">
      <formula1>Hoja1!$G$104:$G$105</formula1>
    </dataValidation>
    <dataValidation type="list" allowBlank="1" showInputMessage="1" showErrorMessage="1" sqref="D2:D4 G14:I14 D9">
      <formula1>Hoja1!$A$114:$A$115</formula1>
    </dataValidation>
    <dataValidation type="list" allowBlank="1" showInputMessage="1" showErrorMessage="1" sqref="D8">
      <formula1>Hoja1!$M$104:$M$113</formula1>
    </dataValidation>
    <dataValidation type="list" allowBlank="1" showInputMessage="1" showErrorMessage="1" sqref="J20:J100">
      <formula1>Hoja1!$C$104:$C$115</formula1>
    </dataValidation>
    <dataValidation type="list" allowBlank="1" showInputMessage="1" showErrorMessage="1" sqref="M20:M100">
      <formula1>Hoja1!$C$104:$C$116</formula1>
    </dataValidation>
    <dataValidation operator="lessThan" allowBlank="1" showInputMessage="1" showErrorMessage="1" sqref="AD20:AD100"/>
    <dataValidation type="list" allowBlank="1" showInputMessage="1" showErrorMessage="1" sqref="K20:K100">
      <formula1>Hoja1!$E$104:$E$122</formula1>
    </dataValidation>
    <dataValidation type="list" allowBlank="1" showInputMessage="1" showErrorMessage="1" sqref="N20:N100">
      <formula1>Hoja1!$E$104:$E$124</formula1>
    </dataValidation>
    <dataValidation type="list" allowBlank="1" showInputMessage="1" showErrorMessage="1" sqref="S10">
      <formula1>Hoja1!$O$104:$O$117</formula1>
    </dataValidation>
    <dataValidation type="list" allowBlank="1" showInputMessage="1" showErrorMessage="1" sqref="P20:P100">
      <formula1>Hoja1!$G$104:$G$107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Docencia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 García</dc:creator>
  <cp:keywords/>
  <dc:description/>
  <cp:lastModifiedBy>Juan Manuek Garcia Arevalo</cp:lastModifiedBy>
  <dcterms:created xsi:type="dcterms:W3CDTF">2006-05-18T21:56:46Z</dcterms:created>
  <dcterms:modified xsi:type="dcterms:W3CDTF">2013-09-12T21:43:35Z</dcterms:modified>
  <cp:category/>
  <cp:version/>
  <cp:contentType/>
  <cp:contentStatus/>
</cp:coreProperties>
</file>