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30" windowHeight="7485" activeTab="1"/>
  </bookViews>
  <sheets>
    <sheet name="Tablas" sheetId="1" r:id="rId1"/>
    <sheet name="Gas Natural" sheetId="2" r:id="rId2"/>
  </sheets>
  <definedNames>
    <definedName name="_DPP1">'Gas Natural'!#REF!</definedName>
    <definedName name="_DPP4">'Gas Natural'!#REF!</definedName>
    <definedName name="_PAC1">'Gas Natural'!#REF!</definedName>
    <definedName name="_PAC10">'Gas Natural'!$V$18</definedName>
    <definedName name="_PAC11">'Gas Natural'!$U$19</definedName>
    <definedName name="_PAC12">'Gas Natural'!#REF!</definedName>
    <definedName name="_PAC2">'Gas Natural'!#REF!</definedName>
    <definedName name="_PAC3">'Gas Natural'!#REF!</definedName>
    <definedName name="_PAC4">'Gas Natural'!#REF!</definedName>
    <definedName name="_PAC5">'Gas Natural'!#REF!</definedName>
    <definedName name="_PAC6">'Gas Natural'!#REF!</definedName>
    <definedName name="_PAC7">'Gas Natural'!#REF!</definedName>
    <definedName name="_PAC8">'Gas Natural'!#REF!</definedName>
    <definedName name="_PAC9">'Gas Natural'!$X$17</definedName>
    <definedName name="ACERO">Tablas!$D$156:$E$171</definedName>
    <definedName name="ACERO_1">Tablas!$C$156:$D$171</definedName>
    <definedName name="ACERO_2">Tablas!$Q$156:$R$171</definedName>
    <definedName name="_xlnm.Print_Area" localSheetId="1">'Gas Natural'!$B$2:$AA$36</definedName>
    <definedName name="CALEFACCION">'Gas Natural'!$Y$7</definedName>
    <definedName name="COBRE">Tablas!$B$156:$C$171</definedName>
    <definedName name="COBRE_1">Tablas!$A$156:$B$171</definedName>
    <definedName name="COBRE_2">Tablas!$O$156:$P$171</definedName>
    <definedName name="DENSIDAD">'Gas Natural'!$F$6</definedName>
    <definedName name="DENSIDADP">#REF!</definedName>
    <definedName name="DPENB">'Gas Natural'!$Y$15</definedName>
    <definedName name="DPENC">'Gas Natural'!#REF!</definedName>
    <definedName name="DPEND">'Gas Natural'!$Y$17</definedName>
    <definedName name="DPENE">'Gas Natural'!$Y$18</definedName>
    <definedName name="DPENF">'Gas Natural'!$Y$19</definedName>
    <definedName name="DPENG">'Gas Natural'!#REF!</definedName>
    <definedName name="DPENH">'Gas Natural'!#REF!</definedName>
    <definedName name="DPENI">'Gas Natural'!#REF!</definedName>
    <definedName name="DPENJ">'Gas Natural'!#REF!</definedName>
    <definedName name="PCI">'Gas Natural'!$F$9</definedName>
    <definedName name="PCIP">#REF!</definedName>
    <definedName name="PCONTADOR">'Gas Natural'!$U$5</definedName>
    <definedName name="PCONTADOR2">#REF!</definedName>
    <definedName name="PCONTADORG">#REF!</definedName>
    <definedName name="PCONTADORP">#REF!</definedName>
    <definedName name="PCS">'Gas Natural'!$F$8</definedName>
    <definedName name="PESPECIFICO">'Gas Natural'!$F$7</definedName>
    <definedName name="PINICIAL">'Gas Natural'!$U$4</definedName>
    <definedName name="POLIBUTILENO">Tablas!$H$156:$I$171</definedName>
    <definedName name="POLIBUTILENO_1">Tablas!$G$156:$H$171</definedName>
    <definedName name="POLIBUTILENO_2">Tablas!$U$156:$V$171</definedName>
    <definedName name="POLIETILENO">Tablas!$L$156:$M$171</definedName>
    <definedName name="POLIETILENO_1">Tablas!$K$156:$L$171</definedName>
    <definedName name="POLIETILENO_2">Tablas!$Y$156:$Z$171</definedName>
    <definedName name="POLIPROPILENO">Tablas!$F$156:$G$171</definedName>
    <definedName name="POLIPROPILENO_1">Tablas!$E$156:$F$171</definedName>
    <definedName name="POLIPROPILENO_2">Tablas!$S$156:$T$171</definedName>
    <definedName name="PRESION">'Gas Natural'!$U$4</definedName>
    <definedName name="PRESIONG">#REF!</definedName>
    <definedName name="PRESIONP">#REF!</definedName>
    <definedName name="PVC">Tablas!$J$156:$K$171</definedName>
    <definedName name="PVC_1">Tablas!$I$156:$J$171</definedName>
    <definedName name="PVC_2">Tablas!$W$156:$X$171</definedName>
    <definedName name="QALOIA">#REF!</definedName>
    <definedName name="QUNITARIO">'Gas Natural'!$Y$10</definedName>
    <definedName name="QUNITARIOP">#REF!</definedName>
    <definedName name="TABLA1">Tablas!$A$6:$F$21</definedName>
    <definedName name="TABLA11">Tablas!$C$6:$G$21</definedName>
    <definedName name="TABLA2">Tablas!$A$31:$F$102</definedName>
    <definedName name="TABLA3">Tablas!$B$112:$F$122</definedName>
    <definedName name="TABLA4">Tablas!$A$130:$F$139</definedName>
    <definedName name="TABLA5">Tablas!#REF!</definedName>
    <definedName name="_xlnm.Print_Titles" localSheetId="1">'Gas Natural'!$2:$13</definedName>
    <definedName name="WOBBE">'Gas Natural'!$F$10</definedName>
  </definedNames>
  <calcPr calcId="125725"/>
</workbook>
</file>

<file path=xl/calcChain.xml><?xml version="1.0" encoding="utf-8"?>
<calcChain xmlns="http://schemas.openxmlformats.org/spreadsheetml/2006/main">
  <c r="J15" i="2"/>
  <c r="Y9"/>
  <c r="Y8"/>
  <c r="Y7"/>
  <c r="I146" i="1" s="1"/>
  <c r="I143" s="1"/>
  <c r="I139" s="1"/>
  <c r="G15" i="2" s="1"/>
  <c r="J18" l="1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G146" i="1"/>
  <c r="W15" i="2"/>
  <c r="W36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17"/>
  <c r="E15"/>
  <c r="F6"/>
  <c r="V35" s="1"/>
  <c r="F7"/>
  <c r="F8"/>
  <c r="G38" s="1"/>
  <c r="F9"/>
  <c r="F10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8"/>
  <c r="V38"/>
  <c r="E39"/>
  <c r="V39"/>
  <c r="F6" i="1"/>
  <c r="F7"/>
  <c r="F8"/>
  <c r="F9"/>
  <c r="F10"/>
  <c r="F11"/>
  <c r="F12"/>
  <c r="F13"/>
  <c r="F14"/>
  <c r="F15"/>
  <c r="F16"/>
  <c r="F17"/>
  <c r="F18"/>
  <c r="F19"/>
  <c r="F20"/>
  <c r="F21"/>
  <c r="F31"/>
  <c r="F32"/>
  <c r="F33"/>
  <c r="F36"/>
  <c r="F38"/>
  <c r="F39"/>
  <c r="F40"/>
  <c r="F41"/>
  <c r="F43"/>
  <c r="F44"/>
  <c r="F46"/>
  <c r="F47"/>
  <c r="F48"/>
  <c r="F50"/>
  <c r="F51"/>
  <c r="F52"/>
  <c r="F53"/>
  <c r="F54"/>
  <c r="F55"/>
  <c r="F57"/>
  <c r="F58"/>
  <c r="F59"/>
  <c r="F60"/>
  <c r="F61"/>
  <c r="F62"/>
  <c r="F64"/>
  <c r="F65"/>
  <c r="F66"/>
  <c r="F67"/>
  <c r="F68"/>
  <c r="F69"/>
  <c r="F71"/>
  <c r="F72"/>
  <c r="F73"/>
  <c r="F74"/>
  <c r="F75"/>
  <c r="F76"/>
  <c r="F78"/>
  <c r="F79"/>
  <c r="F80"/>
  <c r="F81"/>
  <c r="F82"/>
  <c r="F83"/>
  <c r="F85"/>
  <c r="F86"/>
  <c r="F87"/>
  <c r="F88"/>
  <c r="F89"/>
  <c r="F90"/>
  <c r="F92"/>
  <c r="F93"/>
  <c r="F94"/>
  <c r="F95"/>
  <c r="F96"/>
  <c r="F97"/>
  <c r="F99"/>
  <c r="F100"/>
  <c r="F101"/>
  <c r="F102"/>
  <c r="F112"/>
  <c r="F113"/>
  <c r="F114"/>
  <c r="F115"/>
  <c r="F116"/>
  <c r="F117"/>
  <c r="F118"/>
  <c r="F119"/>
  <c r="F120"/>
  <c r="F121"/>
  <c r="F122"/>
  <c r="C138"/>
  <c r="E138"/>
  <c r="F138"/>
  <c r="B142"/>
  <c r="H39" i="2"/>
  <c r="K39" s="1"/>
  <c r="O39" s="1"/>
  <c r="V17"/>
  <c r="V20"/>
  <c r="V22"/>
  <c r="V24"/>
  <c r="V26"/>
  <c r="V28"/>
  <c r="V30"/>
  <c r="V32"/>
  <c r="V34"/>
  <c r="V36"/>
  <c r="V18"/>
  <c r="V19"/>
  <c r="V21"/>
  <c r="V23"/>
  <c r="V25"/>
  <c r="V27"/>
  <c r="V29"/>
  <c r="V31"/>
  <c r="V33"/>
  <c r="G148" i="1" l="1"/>
  <c r="V15" i="2"/>
  <c r="G39"/>
  <c r="H38"/>
  <c r="N39"/>
  <c r="L39"/>
  <c r="P39"/>
  <c r="Q39"/>
  <c r="M39"/>
  <c r="U10" l="1"/>
  <c r="K38"/>
  <c r="L38" s="1"/>
  <c r="S39"/>
  <c r="U39" s="1"/>
  <c r="X39" s="1"/>
  <c r="R39"/>
  <c r="Y10" l="1"/>
  <c r="W4"/>
  <c r="H29"/>
  <c r="K29" s="1"/>
  <c r="H25"/>
  <c r="K25" s="1"/>
  <c r="H34"/>
  <c r="K34" s="1"/>
  <c r="H31"/>
  <c r="K31" s="1"/>
  <c r="H17"/>
  <c r="K17" s="1"/>
  <c r="O17" s="1"/>
  <c r="H28"/>
  <c r="K28" s="1"/>
  <c r="H23"/>
  <c r="K23" s="1"/>
  <c r="H19"/>
  <c r="K19" s="1"/>
  <c r="H21"/>
  <c r="K21" s="1"/>
  <c r="H35"/>
  <c r="K35" s="1"/>
  <c r="H18"/>
  <c r="K18" s="1"/>
  <c r="H36"/>
  <c r="K36" s="1"/>
  <c r="H27"/>
  <c r="K27" s="1"/>
  <c r="H24"/>
  <c r="K24" s="1"/>
  <c r="H20"/>
  <c r="K20" s="1"/>
  <c r="H32"/>
  <c r="K32" s="1"/>
  <c r="H26"/>
  <c r="K26" s="1"/>
  <c r="H22"/>
  <c r="K22" s="1"/>
  <c r="H33"/>
  <c r="K33" s="1"/>
  <c r="H30"/>
  <c r="K30" s="1"/>
  <c r="N30" s="1"/>
  <c r="S38"/>
  <c r="U38" s="1"/>
  <c r="X38" s="1"/>
  <c r="R38"/>
  <c r="O38"/>
  <c r="M38"/>
  <c r="P38"/>
  <c r="N38"/>
  <c r="Q38"/>
  <c r="L30"/>
  <c r="Q30"/>
  <c r="L18"/>
  <c r="N18"/>
  <c r="P18"/>
  <c r="M18"/>
  <c r="O18"/>
  <c r="Q18"/>
  <c r="L26"/>
  <c r="N26"/>
  <c r="P26"/>
  <c r="M26"/>
  <c r="O26"/>
  <c r="Q26"/>
  <c r="L24"/>
  <c r="N24"/>
  <c r="P24"/>
  <c r="M24"/>
  <c r="O24"/>
  <c r="Q24"/>
  <c r="M29"/>
  <c r="L29"/>
  <c r="O29"/>
  <c r="N29"/>
  <c r="Q29"/>
  <c r="P29"/>
  <c r="L19"/>
  <c r="N19"/>
  <c r="P19"/>
  <c r="M19"/>
  <c r="O19"/>
  <c r="Q19"/>
  <c r="L28"/>
  <c r="N28"/>
  <c r="P28"/>
  <c r="M28"/>
  <c r="O28"/>
  <c r="Q28"/>
  <c r="L31"/>
  <c r="N31"/>
  <c r="P31"/>
  <c r="M31"/>
  <c r="O31"/>
  <c r="Q31"/>
  <c r="Q21"/>
  <c r="P21"/>
  <c r="N21"/>
  <c r="O21"/>
  <c r="M21"/>
  <c r="L21"/>
  <c r="Q25"/>
  <c r="P25"/>
  <c r="N25"/>
  <c r="O25"/>
  <c r="M25"/>
  <c r="L25"/>
  <c r="L34"/>
  <c r="N34"/>
  <c r="P34"/>
  <c r="M34"/>
  <c r="O34"/>
  <c r="Q34"/>
  <c r="L22"/>
  <c r="N22"/>
  <c r="P22"/>
  <c r="M22"/>
  <c r="O22"/>
  <c r="Q22"/>
  <c r="L27"/>
  <c r="N27"/>
  <c r="P27"/>
  <c r="M27"/>
  <c r="O27"/>
  <c r="Q27"/>
  <c r="L36"/>
  <c r="N36"/>
  <c r="O36"/>
  <c r="P36"/>
  <c r="M36"/>
  <c r="Q36"/>
  <c r="Q33"/>
  <c r="P33"/>
  <c r="N33"/>
  <c r="O33"/>
  <c r="M33"/>
  <c r="L33"/>
  <c r="L23"/>
  <c r="N23"/>
  <c r="P23"/>
  <c r="M23"/>
  <c r="O23"/>
  <c r="Q23"/>
  <c r="L32"/>
  <c r="N32"/>
  <c r="P32"/>
  <c r="M32"/>
  <c r="O32"/>
  <c r="Q32"/>
  <c r="L20"/>
  <c r="N20"/>
  <c r="P20"/>
  <c r="M20"/>
  <c r="O20"/>
  <c r="Q20"/>
  <c r="L35"/>
  <c r="N35"/>
  <c r="P35"/>
  <c r="M35"/>
  <c r="O35"/>
  <c r="Q35"/>
  <c r="O30" l="1"/>
  <c r="Y4"/>
  <c r="H15"/>
  <c r="K15" s="1"/>
  <c r="Q15" s="1"/>
  <c r="M30"/>
  <c r="P30"/>
  <c r="P17"/>
  <c r="M17"/>
  <c r="L17"/>
  <c r="N17"/>
  <c r="Q17"/>
  <c r="S35"/>
  <c r="U35" s="1"/>
  <c r="R35"/>
  <c r="S20"/>
  <c r="U20" s="1"/>
  <c r="R20"/>
  <c r="S32"/>
  <c r="U32" s="1"/>
  <c r="R32"/>
  <c r="R23"/>
  <c r="S23"/>
  <c r="U23" s="1"/>
  <c r="S36"/>
  <c r="U36" s="1"/>
  <c r="R36"/>
  <c r="S27"/>
  <c r="U27" s="1"/>
  <c r="R27"/>
  <c r="S22"/>
  <c r="U22" s="1"/>
  <c r="R22"/>
  <c r="S34"/>
  <c r="U34" s="1"/>
  <c r="R34"/>
  <c r="S31"/>
  <c r="U31" s="1"/>
  <c r="R31"/>
  <c r="S28"/>
  <c r="U28" s="1"/>
  <c r="R28"/>
  <c r="S19"/>
  <c r="U19" s="1"/>
  <c r="R19"/>
  <c r="S24"/>
  <c r="U24" s="1"/>
  <c r="R24"/>
  <c r="S26"/>
  <c r="U26" s="1"/>
  <c r="R26"/>
  <c r="R18"/>
  <c r="S18"/>
  <c r="U18" s="1"/>
  <c r="S30"/>
  <c r="U30" s="1"/>
  <c r="R30"/>
  <c r="S17"/>
  <c r="U17" s="1"/>
  <c r="R17"/>
  <c r="S33"/>
  <c r="U33" s="1"/>
  <c r="R33"/>
  <c r="R25"/>
  <c r="S25"/>
  <c r="U25" s="1"/>
  <c r="R21"/>
  <c r="S21"/>
  <c r="U21" s="1"/>
  <c r="S29"/>
  <c r="U29" s="1"/>
  <c r="R29"/>
  <c r="L15" l="1"/>
  <c r="M15"/>
  <c r="P15"/>
  <c r="O15"/>
  <c r="N15"/>
  <c r="X36"/>
  <c r="Y36" s="1"/>
  <c r="Z36" s="1"/>
  <c r="AA36" s="1"/>
  <c r="X35"/>
  <c r="Y35" s="1"/>
  <c r="Z35" s="1"/>
  <c r="AA35" s="1"/>
  <c r="X34"/>
  <c r="Y34" s="1"/>
  <c r="Z34" s="1"/>
  <c r="AA34" s="1"/>
  <c r="X33"/>
  <c r="Y33" s="1"/>
  <c r="Z33" s="1"/>
  <c r="AA33" s="1"/>
  <c r="X32"/>
  <c r="Y32" s="1"/>
  <c r="Z32" s="1"/>
  <c r="AA32" s="1"/>
  <c r="X31"/>
  <c r="Y31" s="1"/>
  <c r="Z31" s="1"/>
  <c r="AA31" s="1"/>
  <c r="X30"/>
  <c r="Y30" s="1"/>
  <c r="Z30" s="1"/>
  <c r="AA30" s="1"/>
  <c r="X29"/>
  <c r="Y29" s="1"/>
  <c r="Z29" s="1"/>
  <c r="AA29" s="1"/>
  <c r="X28"/>
  <c r="Y28" s="1"/>
  <c r="Z28" s="1"/>
  <c r="AA28" s="1"/>
  <c r="X27"/>
  <c r="Y27" s="1"/>
  <c r="Z27" s="1"/>
  <c r="AA27" s="1"/>
  <c r="X26"/>
  <c r="Y26" s="1"/>
  <c r="Z26" s="1"/>
  <c r="AA26" s="1"/>
  <c r="X25"/>
  <c r="Y25" s="1"/>
  <c r="Z25" s="1"/>
  <c r="AA25" s="1"/>
  <c r="X24"/>
  <c r="Y24" s="1"/>
  <c r="Z24" s="1"/>
  <c r="AA24" s="1"/>
  <c r="X23"/>
  <c r="Y23" s="1"/>
  <c r="Z23" s="1"/>
  <c r="AA23" s="1"/>
  <c r="X22"/>
  <c r="Y22" s="1"/>
  <c r="Z22" s="1"/>
  <c r="AA22" s="1"/>
  <c r="X21"/>
  <c r="Y21" s="1"/>
  <c r="Z21" s="1"/>
  <c r="AA21" s="1"/>
  <c r="X20"/>
  <c r="Y20" s="1"/>
  <c r="Z20" s="1"/>
  <c r="AA20" s="1"/>
  <c r="X19"/>
  <c r="Y19" s="1"/>
  <c r="Z19" s="1"/>
  <c r="AA19" s="1"/>
  <c r="X18"/>
  <c r="Y18" s="1"/>
  <c r="Z18" s="1"/>
  <c r="AA18" s="1"/>
  <c r="X17"/>
  <c r="Y17" s="1"/>
  <c r="Y38" s="1"/>
  <c r="S15" l="1"/>
  <c r="U15" s="1"/>
  <c r="X15" s="1"/>
  <c r="Y15" s="1"/>
  <c r="Z15" s="1"/>
  <c r="AA15" s="1"/>
  <c r="R15"/>
  <c r="Z17"/>
  <c r="AA17" s="1"/>
  <c r="Y39"/>
  <c r="Z39" s="1"/>
  <c r="AA39" s="1"/>
  <c r="Z38" l="1"/>
  <c r="AA38" s="1"/>
</calcChain>
</file>

<file path=xl/sharedStrings.xml><?xml version="1.0" encoding="utf-8"?>
<sst xmlns="http://schemas.openxmlformats.org/spreadsheetml/2006/main" count="381" uniqueCount="225">
  <si>
    <t>TABLA1</t>
  </si>
  <si>
    <t>Tubería DIN 2440</t>
  </si>
  <si>
    <t>Nominal</t>
  </si>
  <si>
    <t>Exterior</t>
  </si>
  <si>
    <t>Interior</t>
  </si>
  <si>
    <t>Espesor</t>
  </si>
  <si>
    <t>Peso</t>
  </si>
  <si>
    <t>Sección</t>
  </si>
  <si>
    <t>(Pulgadas)</t>
  </si>
  <si>
    <t>(mm)</t>
  </si>
  <si>
    <t>(Kg/m)</t>
  </si>
  <si>
    <t>(cm2)</t>
  </si>
  <si>
    <t>1/8"</t>
  </si>
  <si>
    <t>1/4"</t>
  </si>
  <si>
    <t>3/8"</t>
  </si>
  <si>
    <t>1/2"</t>
  </si>
  <si>
    <t>3/4"</t>
  </si>
  <si>
    <t>1"</t>
  </si>
  <si>
    <t>1 1/4"</t>
  </si>
  <si>
    <t>1 1/2"</t>
  </si>
  <si>
    <t>2"</t>
  </si>
  <si>
    <t>2 1/2"</t>
  </si>
  <si>
    <t>3"</t>
  </si>
  <si>
    <t>3 1/2"</t>
  </si>
  <si>
    <t>4"</t>
  </si>
  <si>
    <t>4 1/2"</t>
  </si>
  <si>
    <t>5"</t>
  </si>
  <si>
    <t>6"</t>
  </si>
  <si>
    <t>TABLA2</t>
  </si>
  <si>
    <t>Tubería DIN 2448</t>
  </si>
  <si>
    <t>13/32"</t>
  </si>
  <si>
    <t>17/32"</t>
  </si>
  <si>
    <t>5/8"</t>
  </si>
  <si>
    <t>11/16"</t>
  </si>
  <si>
    <t>25/32"</t>
  </si>
  <si>
    <t>27/32"</t>
  </si>
  <si>
    <t>1 1/16"</t>
  </si>
  <si>
    <t>1 3/16"</t>
  </si>
  <si>
    <t>1 11/32"</t>
  </si>
  <si>
    <t>1 3/8"</t>
  </si>
  <si>
    <t>1 11/16"</t>
  </si>
  <si>
    <t>1 3/4"</t>
  </si>
  <si>
    <t>1 29/32"</t>
  </si>
  <si>
    <t>2 1/8"</t>
  </si>
  <si>
    <t>2 1/4"</t>
  </si>
  <si>
    <t>2 3/8"</t>
  </si>
  <si>
    <t>2 3/4"</t>
  </si>
  <si>
    <t>3 1/4"</t>
  </si>
  <si>
    <t>3 3/4"</t>
  </si>
  <si>
    <t>4 1/4"</t>
  </si>
  <si>
    <t>4 3/4"</t>
  </si>
  <si>
    <t>5 1/4"</t>
  </si>
  <si>
    <t>5 1/2"</t>
  </si>
  <si>
    <t>5 3/4"</t>
  </si>
  <si>
    <t>6 1/4"</t>
  </si>
  <si>
    <t>6 1/2"</t>
  </si>
  <si>
    <t>6 5/8"</t>
  </si>
  <si>
    <t>6 3/4"</t>
  </si>
  <si>
    <t>7"</t>
  </si>
  <si>
    <t>7 1/2"</t>
  </si>
  <si>
    <t>7 5/8"</t>
  </si>
  <si>
    <t>8 1/2"</t>
  </si>
  <si>
    <t>8 5/8"</t>
  </si>
  <si>
    <t>9"</t>
  </si>
  <si>
    <t>10 1/2"</t>
  </si>
  <si>
    <t>10 3/4"</t>
  </si>
  <si>
    <t>11 3/4"</t>
  </si>
  <si>
    <t>12 1/2"</t>
  </si>
  <si>
    <t>12 3/4"</t>
  </si>
  <si>
    <t>14"</t>
  </si>
  <si>
    <t>14 1/2"</t>
  </si>
  <si>
    <t>16"</t>
  </si>
  <si>
    <t>16 1/2"</t>
  </si>
  <si>
    <t>18"</t>
  </si>
  <si>
    <t>18 1/2"</t>
  </si>
  <si>
    <t>20"</t>
  </si>
  <si>
    <t>20 1/2"</t>
  </si>
  <si>
    <t>22"</t>
  </si>
  <si>
    <t>TABLA3</t>
  </si>
  <si>
    <t>Tubería cobre</t>
  </si>
  <si>
    <t>TABLA 4</t>
  </si>
  <si>
    <t>Gases</t>
  </si>
  <si>
    <t>Datos</t>
  </si>
  <si>
    <t>Unidades</t>
  </si>
  <si>
    <t>Gas Ciudad</t>
  </si>
  <si>
    <t>Gas Natural</t>
  </si>
  <si>
    <t>Propano</t>
  </si>
  <si>
    <t>Butano</t>
  </si>
  <si>
    <t>Familia</t>
  </si>
  <si>
    <t>P.especifico</t>
  </si>
  <si>
    <t>(Kp/Nm3)</t>
  </si>
  <si>
    <t>D-relativa</t>
  </si>
  <si>
    <t>P. calorifica</t>
  </si>
  <si>
    <t>P.C.S.</t>
  </si>
  <si>
    <t>P.C.I.</t>
  </si>
  <si>
    <t>Presion</t>
  </si>
  <si>
    <t>(mmcda)</t>
  </si>
  <si>
    <t>Wobbe</t>
  </si>
  <si>
    <t>Aire Teor.</t>
  </si>
  <si>
    <t>(m3N/m3N)</t>
  </si>
  <si>
    <t>Gas Madrid</t>
  </si>
  <si>
    <t>TABLA 5</t>
  </si>
  <si>
    <t>Coeficientes de Simultaneidad</t>
  </si>
  <si>
    <t>Nº viviendas</t>
  </si>
  <si>
    <t>S1</t>
  </si>
  <si>
    <t>S2</t>
  </si>
  <si>
    <t>N</t>
  </si>
  <si>
    <t>Sin Calefación</t>
  </si>
  <si>
    <t>Con Calefacción</t>
  </si>
  <si>
    <t>TIPO DE GAS:</t>
  </si>
  <si>
    <t>GAS NATURAL</t>
  </si>
  <si>
    <t>Presión contador</t>
  </si>
  <si>
    <t>D.relativa</t>
  </si>
  <si>
    <t>POTENCIAS</t>
  </si>
  <si>
    <t>CONSUMOS</t>
  </si>
  <si>
    <t>P.Especif.</t>
  </si>
  <si>
    <t>Calefacción</t>
  </si>
  <si>
    <t>Cocina</t>
  </si>
  <si>
    <t>P.C.I</t>
  </si>
  <si>
    <t>WOBBE</t>
  </si>
  <si>
    <t>T.vivienda</t>
  </si>
  <si>
    <t>TRAMO</t>
  </si>
  <si>
    <t>LONG.</t>
  </si>
  <si>
    <t>LEMA.</t>
  </si>
  <si>
    <t>NUM.</t>
  </si>
  <si>
    <t>S</t>
  </si>
  <si>
    <t>Caudal</t>
  </si>
  <si>
    <t>dH.</t>
  </si>
  <si>
    <t>dPdis</t>
  </si>
  <si>
    <t>Diam.</t>
  </si>
  <si>
    <t>dPh</t>
  </si>
  <si>
    <t>dPtot</t>
  </si>
  <si>
    <t>dPacu.</t>
  </si>
  <si>
    <t>P.final</t>
  </si>
  <si>
    <t>Velocidad</t>
  </si>
  <si>
    <t>D</t>
  </si>
  <si>
    <t>(mts)</t>
  </si>
  <si>
    <t>(viv)</t>
  </si>
  <si>
    <t>Teorico</t>
  </si>
  <si>
    <t>m/s</t>
  </si>
  <si>
    <t>A</t>
  </si>
  <si>
    <t>B</t>
  </si>
  <si>
    <t>C</t>
  </si>
  <si>
    <t>TUBERIAS</t>
  </si>
  <si>
    <t>COBRE</t>
  </si>
  <si>
    <t xml:space="preserve">ACERO </t>
  </si>
  <si>
    <t>POLIPROPILENO</t>
  </si>
  <si>
    <t>POLIBUTILENO</t>
  </si>
  <si>
    <t>PVC</t>
  </si>
  <si>
    <t>POLIETILENO</t>
  </si>
  <si>
    <t>PVC 16 ATM</t>
  </si>
  <si>
    <t>POLIETILENO 16 ATM</t>
  </si>
  <si>
    <t>DIAMETRO (mm)</t>
  </si>
  <si>
    <t>DIAMETRO (")</t>
  </si>
  <si>
    <t>(no)</t>
  </si>
  <si>
    <t>(6-8)</t>
  </si>
  <si>
    <t>(8-10)</t>
  </si>
  <si>
    <t>(10-12)</t>
  </si>
  <si>
    <t>(13-15)</t>
  </si>
  <si>
    <t>(16-18)</t>
  </si>
  <si>
    <t>(20-22)</t>
  </si>
  <si>
    <t>(26-28)</t>
  </si>
  <si>
    <t>(33-35)</t>
  </si>
  <si>
    <t>S5</t>
  </si>
  <si>
    <t>(40-42)</t>
  </si>
  <si>
    <t>(51-54)</t>
  </si>
  <si>
    <t>(61-64)</t>
  </si>
  <si>
    <t>(73-76)</t>
  </si>
  <si>
    <t>(85-89)</t>
  </si>
  <si>
    <t>(104-108)</t>
  </si>
  <si>
    <t>Dex</t>
  </si>
  <si>
    <t>Dint</t>
  </si>
  <si>
    <t>Cu</t>
  </si>
  <si>
    <t>Fe</t>
  </si>
  <si>
    <t>Pb</t>
  </si>
  <si>
    <t>Pp</t>
  </si>
  <si>
    <t>Pe</t>
  </si>
  <si>
    <t>mm</t>
  </si>
  <si>
    <t>Mat</t>
  </si>
  <si>
    <t>D1A</t>
  </si>
  <si>
    <t>D1C</t>
  </si>
  <si>
    <t>D2A</t>
  </si>
  <si>
    <t>D2B</t>
  </si>
  <si>
    <t>D2C</t>
  </si>
  <si>
    <t>D3A</t>
  </si>
  <si>
    <t>D3B</t>
  </si>
  <si>
    <t>D3C</t>
  </si>
  <si>
    <t>D4A</t>
  </si>
  <si>
    <t>D4B</t>
  </si>
  <si>
    <t>D4C</t>
  </si>
  <si>
    <t>(Coef)</t>
  </si>
  <si>
    <t>Diámetro mínimo 16/18</t>
  </si>
  <si>
    <t>Pérdida presión máxima 2,5 mbar</t>
  </si>
  <si>
    <t>Diámetro mínimo 13/15</t>
  </si>
  <si>
    <t>Diámetro mínimo 20/22</t>
  </si>
  <si>
    <t>Pérdida presión máxima 25 mbar</t>
  </si>
  <si>
    <t>Montantes</t>
  </si>
  <si>
    <t>Interior vivienda</t>
  </si>
  <si>
    <t>Desvio contador vivienda</t>
  </si>
  <si>
    <t>D2D</t>
  </si>
  <si>
    <t>D3D</t>
  </si>
  <si>
    <t>D4D</t>
  </si>
  <si>
    <t>D5A</t>
  </si>
  <si>
    <t>D5B</t>
  </si>
  <si>
    <t>D5C</t>
  </si>
  <si>
    <t>D5D</t>
  </si>
  <si>
    <t>CoefxSituación</t>
  </si>
  <si>
    <t>Contador</t>
  </si>
  <si>
    <t>Bateria en p baja</t>
  </si>
  <si>
    <t>x</t>
  </si>
  <si>
    <t>formula directa</t>
  </si>
  <si>
    <t>mbar</t>
  </si>
  <si>
    <t>dP dreal</t>
  </si>
  <si>
    <t>2º aparato mayor potencia</t>
  </si>
  <si>
    <t>3º aparato</t>
  </si>
  <si>
    <t>CALCULO DE INSTALACION DE GAS NATURAL  Presión &lt;100mbar</t>
  </si>
  <si>
    <t>DBC</t>
  </si>
  <si>
    <t>Caldera1A</t>
  </si>
  <si>
    <t>Bateria en cubierta</t>
  </si>
  <si>
    <r>
      <t>kcal/m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S</t>
    </r>
  </si>
  <si>
    <r>
      <t>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S/h</t>
    </r>
  </si>
  <si>
    <r>
      <t>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/h</t>
    </r>
  </si>
  <si>
    <t>D1B</t>
  </si>
  <si>
    <t>Presión regulador(inst. en redes MPB)</t>
  </si>
  <si>
    <t>kW</t>
  </si>
</sst>
</file>

<file path=xl/styles.xml><?xml version="1.0" encoding="utf-8"?>
<styleSheet xmlns="http://schemas.openxmlformats.org/spreadsheetml/2006/main">
  <numFmts count="5">
    <numFmt numFmtId="164" formatCode="#,##0;[Red]\-#,##0"/>
    <numFmt numFmtId="165" formatCode="0.000"/>
    <numFmt numFmtId="166" formatCode="0.00_)"/>
    <numFmt numFmtId="167" formatCode="0.0_)"/>
    <numFmt numFmtId="168" formatCode="0.0"/>
  </numFmts>
  <fonts count="11">
    <font>
      <sz val="10"/>
      <name val="MS Sans Serif"/>
    </font>
    <font>
      <sz val="10"/>
      <name val="MS Sans Serif"/>
    </font>
    <font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sz val="10"/>
      <color indexed="48"/>
      <name val="Arial Narrow"/>
      <family val="2"/>
    </font>
    <font>
      <sz val="8"/>
      <name val="MS Sans Serif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/>
    <xf numFmtId="0" fontId="2" fillId="0" borderId="1" xfId="0" applyFont="1" applyBorder="1"/>
    <xf numFmtId="167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7" fontId="3" fillId="0" borderId="1" xfId="1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 applyProtection="1">
      <alignment vertical="center"/>
    </xf>
    <xf numFmtId="0" fontId="4" fillId="0" borderId="3" xfId="0" quotePrefix="1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5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Protection="1"/>
    <xf numFmtId="0" fontId="2" fillId="0" borderId="0" xfId="0" applyFont="1" applyBorder="1" applyProtection="1"/>
    <xf numFmtId="0" fontId="6" fillId="0" borderId="0" xfId="0" quotePrefix="1" applyFont="1" applyBorder="1" applyAlignment="1" applyProtection="1">
      <alignment horizontal="left"/>
    </xf>
    <xf numFmtId="167" fontId="2" fillId="0" borderId="0" xfId="0" applyNumberFormat="1" applyFont="1" applyBorder="1"/>
    <xf numFmtId="0" fontId="2" fillId="0" borderId="0" xfId="0" applyFont="1" applyBorder="1"/>
    <xf numFmtId="167" fontId="2" fillId="0" borderId="0" xfId="1" applyNumberFormat="1" applyFont="1" applyBorder="1"/>
    <xf numFmtId="0" fontId="2" fillId="0" borderId="6" xfId="0" applyFont="1" applyBorder="1" applyProtection="1"/>
    <xf numFmtId="0" fontId="5" fillId="0" borderId="5" xfId="0" quotePrefix="1" applyFont="1" applyBorder="1" applyAlignment="1" applyProtection="1">
      <alignment horizontal="left"/>
    </xf>
    <xf numFmtId="0" fontId="5" fillId="0" borderId="0" xfId="0" quotePrefix="1" applyFont="1" applyBorder="1" applyAlignment="1" applyProtection="1">
      <alignment horizontal="left"/>
    </xf>
    <xf numFmtId="0" fontId="5" fillId="0" borderId="0" xfId="0" applyFont="1" applyBorder="1" applyProtection="1"/>
    <xf numFmtId="167" fontId="7" fillId="0" borderId="0" xfId="0" applyNumberFormat="1" applyFont="1" applyBorder="1" applyAlignment="1" applyProtection="1">
      <alignment horizontal="fill"/>
    </xf>
    <xf numFmtId="0" fontId="7" fillId="0" borderId="0" xfId="0" applyFont="1" applyBorder="1" applyAlignment="1" applyProtection="1">
      <alignment horizontal="fill"/>
    </xf>
    <xf numFmtId="167" fontId="7" fillId="0" borderId="0" xfId="1" applyNumberFormat="1" applyFont="1" applyBorder="1" applyAlignment="1" applyProtection="1">
      <alignment horizontal="fill"/>
    </xf>
    <xf numFmtId="2" fontId="7" fillId="0" borderId="0" xfId="0" applyNumberFormat="1" applyFont="1" applyBorder="1" applyAlignment="1" applyProtection="1">
      <alignment horizontal="left"/>
    </xf>
    <xf numFmtId="0" fontId="7" fillId="0" borderId="0" xfId="0" applyFont="1" applyBorder="1"/>
    <xf numFmtId="167" fontId="7" fillId="0" borderId="0" xfId="1" applyNumberFormat="1" applyFont="1" applyBorder="1"/>
    <xf numFmtId="0" fontId="5" fillId="0" borderId="7" xfId="0" applyFont="1" applyBorder="1" applyProtection="1"/>
    <xf numFmtId="0" fontId="2" fillId="0" borderId="7" xfId="0" applyFont="1" applyBorder="1" applyProtection="1"/>
    <xf numFmtId="167" fontId="7" fillId="0" borderId="0" xfId="0" applyNumberFormat="1" applyFont="1" applyBorder="1"/>
    <xf numFmtId="0" fontId="2" fillId="0" borderId="7" xfId="0" applyFont="1" applyBorder="1"/>
    <xf numFmtId="165" fontId="2" fillId="0" borderId="7" xfId="0" applyNumberFormat="1" applyFont="1" applyBorder="1" applyProtection="1"/>
    <xf numFmtId="0" fontId="5" fillId="0" borderId="5" xfId="0" applyFont="1" applyBorder="1" applyProtection="1"/>
    <xf numFmtId="0" fontId="5" fillId="0" borderId="8" xfId="0" applyFont="1" applyBorder="1" applyProtection="1"/>
    <xf numFmtId="167" fontId="7" fillId="0" borderId="8" xfId="0" applyNumberFormat="1" applyFont="1" applyBorder="1"/>
    <xf numFmtId="0" fontId="7" fillId="0" borderId="8" xfId="0" applyFont="1" applyBorder="1"/>
    <xf numFmtId="167" fontId="7" fillId="0" borderId="8" xfId="1" applyNumberFormat="1" applyFont="1" applyBorder="1"/>
    <xf numFmtId="0" fontId="2" fillId="0" borderId="9" xfId="0" applyFont="1" applyBorder="1" applyProtection="1"/>
    <xf numFmtId="0" fontId="2" fillId="0" borderId="1" xfId="0" applyFont="1" applyBorder="1" applyProtection="1"/>
    <xf numFmtId="0" fontId="2" fillId="0" borderId="10" xfId="0" applyFont="1" applyBorder="1" applyProtection="1"/>
    <xf numFmtId="0" fontId="2" fillId="0" borderId="11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center" vertical="center"/>
    </xf>
    <xf numFmtId="167" fontId="7" fillId="0" borderId="13" xfId="0" applyNumberFormat="1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167" fontId="7" fillId="0" borderId="13" xfId="1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5" xfId="0" applyFont="1" applyBorder="1"/>
    <xf numFmtId="0" fontId="2" fillId="0" borderId="15" xfId="0" applyFont="1" applyBorder="1"/>
    <xf numFmtId="0" fontId="9" fillId="0" borderId="15" xfId="0" applyFont="1" applyBorder="1" applyAlignment="1">
      <alignment horizontal="center"/>
    </xf>
    <xf numFmtId="1" fontId="2" fillId="0" borderId="15" xfId="0" applyNumberFormat="1" applyFont="1" applyBorder="1"/>
    <xf numFmtId="167" fontId="7" fillId="0" borderId="15" xfId="0" applyNumberFormat="1" applyFont="1" applyBorder="1"/>
    <xf numFmtId="0" fontId="7" fillId="0" borderId="15" xfId="0" applyFont="1" applyBorder="1"/>
    <xf numFmtId="167" fontId="7" fillId="0" borderId="15" xfId="1" applyNumberFormat="1" applyFont="1" applyBorder="1"/>
    <xf numFmtId="0" fontId="2" fillId="0" borderId="15" xfId="0" applyFont="1" applyBorder="1" applyProtection="1"/>
    <xf numFmtId="0" fontId="2" fillId="0" borderId="12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9" fillId="0" borderId="0" xfId="0" applyNumberFormat="1" applyFont="1" applyBorder="1"/>
    <xf numFmtId="2" fontId="2" fillId="0" borderId="0" xfId="0" applyNumberFormat="1" applyFont="1" applyBorder="1"/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7" fontId="7" fillId="0" borderId="0" xfId="0" applyNumberFormat="1" applyFont="1" applyBorder="1" applyAlignment="1" applyProtection="1">
      <alignment horizontal="center"/>
    </xf>
    <xf numFmtId="167" fontId="7" fillId="0" borderId="0" xfId="0" applyNumberFormat="1" applyFont="1" applyBorder="1" applyProtection="1"/>
    <xf numFmtId="1" fontId="7" fillId="0" borderId="0" xfId="0" applyNumberFormat="1" applyFont="1" applyBorder="1" applyAlignment="1" applyProtection="1">
      <alignment horizontal="center"/>
    </xf>
    <xf numFmtId="168" fontId="7" fillId="0" borderId="0" xfId="0" applyNumberFormat="1" applyFont="1" applyBorder="1" applyAlignment="1" applyProtection="1">
      <alignment horizontal="center"/>
    </xf>
    <xf numFmtId="2" fontId="2" fillId="0" borderId="6" xfId="0" applyNumberFormat="1" applyFont="1" applyBorder="1" applyAlignment="1">
      <alignment horizontal="center"/>
    </xf>
    <xf numFmtId="1" fontId="7" fillId="0" borderId="0" xfId="0" applyNumberFormat="1" applyFont="1" applyFill="1" applyBorder="1" applyAlignment="1" applyProtection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67" fontId="2" fillId="0" borderId="1" xfId="0" applyNumberFormat="1" applyFont="1" applyBorder="1"/>
    <xf numFmtId="167" fontId="2" fillId="0" borderId="1" xfId="1" applyNumberFormat="1" applyFont="1" applyBorder="1"/>
    <xf numFmtId="0" fontId="2" fillId="0" borderId="10" xfId="0" applyFont="1" applyBorder="1"/>
    <xf numFmtId="167" fontId="2" fillId="0" borderId="0" xfId="0" applyNumberFormat="1" applyFont="1"/>
    <xf numFmtId="167" fontId="2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2" fontId="2" fillId="0" borderId="0" xfId="0" applyNumberFormat="1" applyFont="1"/>
    <xf numFmtId="12" fontId="2" fillId="0" borderId="0" xfId="0" applyNumberFormat="1" applyFont="1"/>
    <xf numFmtId="0" fontId="2" fillId="0" borderId="0" xfId="0" quotePrefix="1" applyFont="1" applyAlignment="1">
      <alignment horizontal="left"/>
    </xf>
    <xf numFmtId="13" fontId="2" fillId="0" borderId="0" xfId="0" applyNumberFormat="1" applyFont="1"/>
    <xf numFmtId="13" fontId="2" fillId="0" borderId="0" xfId="0" quotePrefix="1" applyNumberFormat="1" applyFont="1" applyAlignment="1">
      <alignment horizontal="left"/>
    </xf>
    <xf numFmtId="0" fontId="7" fillId="0" borderId="0" xfId="0" applyFont="1"/>
    <xf numFmtId="0" fontId="7" fillId="0" borderId="0" xfId="0" applyFont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16" xfId="0" applyFont="1" applyBorder="1" applyProtection="1"/>
    <xf numFmtId="0" fontId="7" fillId="0" borderId="17" xfId="0" applyFont="1" applyBorder="1" applyProtection="1"/>
    <xf numFmtId="166" fontId="7" fillId="0" borderId="17" xfId="0" applyNumberFormat="1" applyFont="1" applyBorder="1" applyProtection="1"/>
    <xf numFmtId="0" fontId="7" fillId="0" borderId="18" xfId="0" applyFont="1" applyBorder="1" applyProtection="1"/>
    <xf numFmtId="0" fontId="2" fillId="0" borderId="17" xfId="0" applyFont="1" applyBorder="1"/>
    <xf numFmtId="0" fontId="7" fillId="0" borderId="19" xfId="0" applyFont="1" applyBorder="1" applyProtection="1"/>
    <xf numFmtId="0" fontId="2" fillId="0" borderId="20" xfId="0" applyFont="1" applyBorder="1"/>
    <xf numFmtId="0" fontId="7" fillId="0" borderId="16" xfId="0" applyFont="1" applyBorder="1" applyAlignment="1" applyProtection="1">
      <alignment horizontal="right"/>
    </xf>
    <xf numFmtId="0" fontId="2" fillId="0" borderId="16" xfId="0" applyFont="1" applyBorder="1" applyAlignment="1">
      <alignment horizontal="right"/>
    </xf>
    <xf numFmtId="0" fontId="7" fillId="0" borderId="16" xfId="0" applyFont="1" applyBorder="1"/>
    <xf numFmtId="0" fontId="2" fillId="0" borderId="16" xfId="0" applyFont="1" applyBorder="1"/>
    <xf numFmtId="0" fontId="7" fillId="0" borderId="20" xfId="0" applyFont="1" applyBorder="1" applyProtection="1"/>
    <xf numFmtId="166" fontId="7" fillId="0" borderId="20" xfId="0" applyNumberFormat="1" applyFont="1" applyBorder="1" applyProtection="1"/>
    <xf numFmtId="0" fontId="7" fillId="0" borderId="0" xfId="0" applyFont="1" applyBorder="1" applyProtection="1"/>
    <xf numFmtId="0" fontId="7" fillId="0" borderId="19" xfId="0" applyFont="1" applyBorder="1" applyAlignment="1" applyProtection="1">
      <alignment horizontal="right"/>
    </xf>
    <xf numFmtId="0" fontId="2" fillId="0" borderId="19" xfId="0" applyFont="1" applyBorder="1" applyAlignment="1">
      <alignment horizontal="right"/>
    </xf>
    <xf numFmtId="0" fontId="7" fillId="0" borderId="19" xfId="0" applyFont="1" applyBorder="1"/>
    <xf numFmtId="0" fontId="2" fillId="0" borderId="19" xfId="0" applyFont="1" applyBorder="1"/>
    <xf numFmtId="0" fontId="7" fillId="0" borderId="21" xfId="0" applyFont="1" applyBorder="1" applyProtection="1"/>
    <xf numFmtId="0" fontId="7" fillId="0" borderId="22" xfId="0" applyFont="1" applyBorder="1"/>
    <xf numFmtId="166" fontId="7" fillId="0" borderId="21" xfId="0" applyNumberFormat="1" applyFont="1" applyBorder="1" applyProtection="1"/>
    <xf numFmtId="0" fontId="7" fillId="0" borderId="7" xfId="0" applyFont="1" applyBorder="1" applyProtection="1"/>
    <xf numFmtId="0" fontId="7" fillId="0" borderId="22" xfId="0" applyFont="1" applyBorder="1" applyProtection="1"/>
    <xf numFmtId="0" fontId="2" fillId="0" borderId="22" xfId="0" applyFont="1" applyBorder="1"/>
    <xf numFmtId="0" fontId="7" fillId="0" borderId="22" xfId="0" applyFont="1" applyBorder="1" applyAlignment="1" applyProtection="1">
      <alignment horizontal="right"/>
    </xf>
    <xf numFmtId="0" fontId="2" fillId="0" borderId="2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 applyProtection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1" fontId="9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 applyProtection="1">
      <alignment horizontal="center"/>
    </xf>
    <xf numFmtId="167" fontId="7" fillId="0" borderId="1" xfId="0" applyNumberFormat="1" applyFont="1" applyBorder="1" applyProtection="1"/>
    <xf numFmtId="1" fontId="7" fillId="0" borderId="1" xfId="0" applyNumberFormat="1" applyFont="1" applyFill="1" applyBorder="1" applyAlignment="1" applyProtection="1">
      <alignment horizontal="center"/>
    </xf>
    <xf numFmtId="168" fontId="7" fillId="0" borderId="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167" fontId="7" fillId="0" borderId="0" xfId="1" applyNumberFormat="1" applyFont="1" applyFill="1" applyBorder="1"/>
    <xf numFmtId="0" fontId="2" fillId="0" borderId="1" xfId="0" applyFont="1" applyFill="1" applyBorder="1" applyProtection="1"/>
    <xf numFmtId="0" fontId="2" fillId="0" borderId="12" xfId="0" applyFont="1" applyBorder="1" applyAlignment="1" applyProtection="1">
      <alignment horizontal="left" vertical="center"/>
    </xf>
    <xf numFmtId="2" fontId="2" fillId="0" borderId="0" xfId="0" applyNumberFormat="1" applyFont="1" applyBorder="1" applyProtection="1"/>
    <xf numFmtId="0" fontId="4" fillId="0" borderId="3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/>
    </xf>
    <xf numFmtId="0" fontId="7" fillId="0" borderId="23" xfId="0" applyFont="1" applyBorder="1"/>
    <xf numFmtId="165" fontId="2" fillId="0" borderId="0" xfId="0" applyNumberFormat="1" applyFont="1" applyBorder="1"/>
    <xf numFmtId="3" fontId="2" fillId="2" borderId="7" xfId="0" applyNumberFormat="1" applyFont="1" applyFill="1" applyBorder="1"/>
    <xf numFmtId="0" fontId="2" fillId="2" borderId="0" xfId="0" applyFont="1" applyFill="1" applyBorder="1" applyProtection="1"/>
    <xf numFmtId="0" fontId="2" fillId="2" borderId="0" xfId="0" applyFont="1" applyFill="1" applyBorder="1"/>
    <xf numFmtId="2" fontId="9" fillId="2" borderId="0" xfId="0" applyNumberFormat="1" applyFont="1" applyFill="1" applyBorder="1"/>
    <xf numFmtId="1" fontId="9" fillId="2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2" fillId="2" borderId="23" xfId="0" applyFont="1" applyFill="1" applyBorder="1"/>
    <xf numFmtId="2" fontId="2" fillId="2" borderId="0" xfId="0" applyNumberFormat="1" applyFont="1" applyFill="1" applyBorder="1"/>
    <xf numFmtId="2" fontId="2" fillId="2" borderId="1" xfId="0" applyNumberFormat="1" applyFont="1" applyFill="1" applyBorder="1"/>
    <xf numFmtId="1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168" fontId="7" fillId="2" borderId="0" xfId="0" applyNumberFormat="1" applyFont="1" applyFill="1" applyBorder="1" applyAlignment="1" applyProtection="1">
      <alignment horizontal="center"/>
    </xf>
    <xf numFmtId="168" fontId="7" fillId="2" borderId="1" xfId="0" applyNumberFormat="1" applyFont="1" applyFill="1" applyBorder="1" applyAlignment="1" applyProtection="1">
      <alignment horizontal="center"/>
    </xf>
    <xf numFmtId="4" fontId="2" fillId="0" borderId="7" xfId="0" applyNumberFormat="1" applyFont="1" applyBorder="1"/>
    <xf numFmtId="4" fontId="2" fillId="0" borderId="0" xfId="0" applyNumberFormat="1" applyFont="1"/>
    <xf numFmtId="2" fontId="0" fillId="0" borderId="0" xfId="0" applyNumberFormat="1"/>
    <xf numFmtId="166" fontId="2" fillId="0" borderId="0" xfId="0" applyNumberFormat="1" applyFont="1" applyBorder="1"/>
  </cellXfs>
  <cellStyles count="2">
    <cellStyle name="Millares [0]" xfId="1" builtinId="6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72"/>
  <sheetViews>
    <sheetView topLeftCell="A127" zoomScale="90" workbookViewId="0">
      <selection activeCell="J141" sqref="J141"/>
    </sheetView>
  </sheetViews>
  <sheetFormatPr baseColWidth="10" defaultRowHeight="12.75"/>
  <cols>
    <col min="1" max="5" width="11.42578125" style="1"/>
    <col min="6" max="6" width="11.7109375" style="1" customWidth="1"/>
    <col min="7" max="16384" width="11.42578125" style="1"/>
  </cols>
  <sheetData>
    <row r="2" spans="1:7">
      <c r="C2" s="1" t="s">
        <v>0</v>
      </c>
      <c r="D2" s="1" t="s">
        <v>1</v>
      </c>
    </row>
    <row r="4" spans="1:7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</row>
    <row r="5" spans="1:7">
      <c r="A5" s="1" t="s">
        <v>8</v>
      </c>
      <c r="B5" s="79" t="s">
        <v>9</v>
      </c>
      <c r="C5" s="79" t="s">
        <v>9</v>
      </c>
      <c r="D5" s="79" t="s">
        <v>9</v>
      </c>
      <c r="E5" s="79" t="s">
        <v>10</v>
      </c>
      <c r="F5" s="80" t="s">
        <v>11</v>
      </c>
    </row>
    <row r="6" spans="1:7">
      <c r="A6" s="1" t="s">
        <v>12</v>
      </c>
      <c r="B6" s="81">
        <v>10.199999999999999</v>
      </c>
      <c r="C6" s="81">
        <v>6.2</v>
      </c>
      <c r="D6" s="81">
        <v>2</v>
      </c>
      <c r="E6" s="81">
        <v>0.41</v>
      </c>
      <c r="F6" s="81">
        <f t="shared" ref="F6:F21" si="0">PI()*((C6/2)^2)/100</f>
        <v>0.30190705400997919</v>
      </c>
      <c r="G6" s="1" t="s">
        <v>12</v>
      </c>
    </row>
    <row r="7" spans="1:7">
      <c r="A7" s="1" t="s">
        <v>13</v>
      </c>
      <c r="B7" s="81">
        <v>13.05</v>
      </c>
      <c r="C7" s="81">
        <v>8.35</v>
      </c>
      <c r="D7" s="81">
        <v>2.35</v>
      </c>
      <c r="E7" s="81">
        <v>0.65</v>
      </c>
      <c r="F7" s="81">
        <f t="shared" si="0"/>
        <v>0.54759923447478587</v>
      </c>
      <c r="G7" s="1" t="s">
        <v>13</v>
      </c>
    </row>
    <row r="8" spans="1:7">
      <c r="A8" s="1" t="s">
        <v>14</v>
      </c>
      <c r="B8" s="81">
        <v>17.02</v>
      </c>
      <c r="C8" s="81">
        <v>12.32</v>
      </c>
      <c r="D8" s="81">
        <v>2.35</v>
      </c>
      <c r="E8" s="81">
        <v>0.85</v>
      </c>
      <c r="F8" s="81">
        <f t="shared" si="0"/>
        <v>1.1920961819605684</v>
      </c>
      <c r="G8" s="1" t="s">
        <v>14</v>
      </c>
    </row>
    <row r="9" spans="1:7">
      <c r="A9" s="1" t="s">
        <v>15</v>
      </c>
      <c r="B9" s="81">
        <v>21.3</v>
      </c>
      <c r="C9" s="81">
        <v>16</v>
      </c>
      <c r="D9" s="81">
        <v>2.65</v>
      </c>
      <c r="E9" s="81">
        <v>1.22</v>
      </c>
      <c r="F9" s="81">
        <f t="shared" si="0"/>
        <v>2.0106192982974678</v>
      </c>
      <c r="G9" s="1" t="s">
        <v>15</v>
      </c>
    </row>
    <row r="10" spans="1:7">
      <c r="A10" s="1" t="s">
        <v>16</v>
      </c>
      <c r="B10" s="81">
        <v>26.9</v>
      </c>
      <c r="C10" s="81">
        <v>21.6</v>
      </c>
      <c r="D10" s="81">
        <v>2.65</v>
      </c>
      <c r="E10" s="81">
        <v>1.58</v>
      </c>
      <c r="F10" s="81">
        <f t="shared" si="0"/>
        <v>3.6643536711471354</v>
      </c>
      <c r="G10" s="1" t="s">
        <v>16</v>
      </c>
    </row>
    <row r="11" spans="1:7">
      <c r="A11" s="1" t="s">
        <v>17</v>
      </c>
      <c r="B11" s="81">
        <v>33.700000000000003</v>
      </c>
      <c r="C11" s="81">
        <v>27.2</v>
      </c>
      <c r="D11" s="81">
        <v>3.25</v>
      </c>
      <c r="E11" s="81">
        <v>2.44</v>
      </c>
      <c r="F11" s="81">
        <f t="shared" si="0"/>
        <v>5.8106897720796802</v>
      </c>
      <c r="G11" s="1" t="s">
        <v>17</v>
      </c>
    </row>
    <row r="12" spans="1:7">
      <c r="A12" s="82" t="s">
        <v>18</v>
      </c>
      <c r="B12" s="81">
        <v>42.4</v>
      </c>
      <c r="C12" s="81">
        <v>35.9</v>
      </c>
      <c r="D12" s="81">
        <v>3.25</v>
      </c>
      <c r="E12" s="81">
        <v>3.14</v>
      </c>
      <c r="F12" s="81">
        <f t="shared" si="0"/>
        <v>10.122290069682652</v>
      </c>
      <c r="G12" s="82" t="s">
        <v>18</v>
      </c>
    </row>
    <row r="13" spans="1:7">
      <c r="A13" s="82" t="s">
        <v>19</v>
      </c>
      <c r="B13" s="81">
        <v>48.3</v>
      </c>
      <c r="C13" s="81">
        <v>41.8</v>
      </c>
      <c r="D13" s="81">
        <v>3.25</v>
      </c>
      <c r="E13" s="81">
        <v>3.61</v>
      </c>
      <c r="F13" s="81">
        <f t="shared" si="0"/>
        <v>13.722790870145573</v>
      </c>
      <c r="G13" s="82" t="s">
        <v>19</v>
      </c>
    </row>
    <row r="14" spans="1:7">
      <c r="A14" s="1" t="s">
        <v>20</v>
      </c>
      <c r="B14" s="81">
        <v>60.3</v>
      </c>
      <c r="C14" s="81">
        <v>53</v>
      </c>
      <c r="D14" s="81">
        <v>3.65</v>
      </c>
      <c r="E14" s="81">
        <v>5.0999999999999996</v>
      </c>
      <c r="F14" s="81">
        <f t="shared" si="0"/>
        <v>22.061834409834322</v>
      </c>
      <c r="G14" s="1" t="s">
        <v>20</v>
      </c>
    </row>
    <row r="15" spans="1:7">
      <c r="A15" s="82" t="s">
        <v>21</v>
      </c>
      <c r="B15" s="81">
        <v>76.099999999999994</v>
      </c>
      <c r="C15" s="81">
        <v>68.8</v>
      </c>
      <c r="D15" s="81">
        <v>3.65</v>
      </c>
      <c r="E15" s="81">
        <v>6.51</v>
      </c>
      <c r="F15" s="81">
        <f t="shared" si="0"/>
        <v>37.176350825520174</v>
      </c>
      <c r="G15" s="82" t="s">
        <v>21</v>
      </c>
    </row>
    <row r="16" spans="1:7">
      <c r="A16" s="1" t="s">
        <v>22</v>
      </c>
      <c r="B16" s="81">
        <v>88.9</v>
      </c>
      <c r="C16" s="81">
        <v>80.8</v>
      </c>
      <c r="D16" s="81">
        <v>4.05</v>
      </c>
      <c r="E16" s="81">
        <v>8.4700000000000006</v>
      </c>
      <c r="F16" s="81">
        <f t="shared" si="0"/>
        <v>51.275818654831163</v>
      </c>
      <c r="G16" s="1" t="s">
        <v>22</v>
      </c>
    </row>
    <row r="17" spans="1:7">
      <c r="A17" s="82" t="s">
        <v>23</v>
      </c>
      <c r="B17" s="81">
        <v>101.6</v>
      </c>
      <c r="C17" s="81">
        <v>93.5</v>
      </c>
      <c r="D17" s="81">
        <v>4.05</v>
      </c>
      <c r="E17" s="81">
        <v>9.6999999999999993</v>
      </c>
      <c r="F17" s="81">
        <f t="shared" si="0"/>
        <v>68.661470939613423</v>
      </c>
      <c r="G17" s="82" t="s">
        <v>23</v>
      </c>
    </row>
    <row r="18" spans="1:7">
      <c r="A18" s="1" t="s">
        <v>24</v>
      </c>
      <c r="B18" s="81">
        <v>114.3</v>
      </c>
      <c r="C18" s="81">
        <v>105.3</v>
      </c>
      <c r="D18" s="81">
        <v>4.5</v>
      </c>
      <c r="E18" s="81">
        <v>12.1</v>
      </c>
      <c r="F18" s="81">
        <f t="shared" si="0"/>
        <v>87.085655215856136</v>
      </c>
      <c r="G18" s="1" t="s">
        <v>24</v>
      </c>
    </row>
    <row r="19" spans="1:7">
      <c r="A19" s="82" t="s">
        <v>25</v>
      </c>
      <c r="B19" s="81">
        <v>127</v>
      </c>
      <c r="C19" s="81">
        <v>118</v>
      </c>
      <c r="D19" s="81">
        <v>4.5</v>
      </c>
      <c r="E19" s="81">
        <v>13.5</v>
      </c>
      <c r="F19" s="81">
        <f t="shared" si="0"/>
        <v>109.35884027146071</v>
      </c>
      <c r="G19" s="82" t="s">
        <v>25</v>
      </c>
    </row>
    <row r="20" spans="1:7">
      <c r="A20" s="1" t="s">
        <v>26</v>
      </c>
      <c r="B20" s="81">
        <v>139.69999999999999</v>
      </c>
      <c r="C20" s="81">
        <v>130</v>
      </c>
      <c r="D20" s="81">
        <v>4.8499999999999996</v>
      </c>
      <c r="E20" s="81">
        <v>16.2</v>
      </c>
      <c r="F20" s="81">
        <f t="shared" si="0"/>
        <v>132.73228961416876</v>
      </c>
      <c r="G20" s="1" t="s">
        <v>26</v>
      </c>
    </row>
    <row r="21" spans="1:7">
      <c r="A21" s="1" t="s">
        <v>27</v>
      </c>
      <c r="B21" s="81">
        <v>165.1</v>
      </c>
      <c r="C21" s="81">
        <v>155.4</v>
      </c>
      <c r="D21" s="81">
        <v>4.8499999999999996</v>
      </c>
      <c r="E21" s="81">
        <v>19.2</v>
      </c>
      <c r="F21" s="81">
        <f t="shared" si="0"/>
        <v>189.66705911591126</v>
      </c>
      <c r="G21" s="1" t="s">
        <v>27</v>
      </c>
    </row>
    <row r="26" spans="1:7">
      <c r="C26" s="83" t="s">
        <v>28</v>
      </c>
      <c r="D26" s="83" t="s">
        <v>29</v>
      </c>
    </row>
    <row r="27" spans="1:7">
      <c r="C27" s="83"/>
      <c r="D27" s="83"/>
    </row>
    <row r="29" spans="1:7">
      <c r="A29" s="1" t="s">
        <v>2</v>
      </c>
      <c r="B29" s="1" t="s">
        <v>3</v>
      </c>
      <c r="C29" s="1" t="s">
        <v>4</v>
      </c>
      <c r="D29" s="1" t="s">
        <v>5</v>
      </c>
      <c r="E29" s="1" t="s">
        <v>6</v>
      </c>
      <c r="F29" s="1" t="s">
        <v>7</v>
      </c>
    </row>
    <row r="30" spans="1:7">
      <c r="A30" s="1" t="s">
        <v>8</v>
      </c>
      <c r="B30" s="79" t="s">
        <v>9</v>
      </c>
      <c r="C30" s="79" t="s">
        <v>9</v>
      </c>
      <c r="D30" s="79" t="s">
        <v>9</v>
      </c>
      <c r="E30" s="79" t="s">
        <v>10</v>
      </c>
      <c r="F30" s="80" t="s">
        <v>11</v>
      </c>
    </row>
    <row r="31" spans="1:7">
      <c r="A31" s="1" t="s">
        <v>30</v>
      </c>
      <c r="B31" s="81">
        <v>10.199999999999999</v>
      </c>
      <c r="C31" s="81">
        <v>7</v>
      </c>
      <c r="D31" s="81">
        <v>1.6</v>
      </c>
      <c r="E31" s="81">
        <v>0.34399999999999997</v>
      </c>
      <c r="F31" s="81">
        <f>PI()*((C31/2)^2)/100</f>
        <v>0.38484510006474965</v>
      </c>
    </row>
    <row r="32" spans="1:7">
      <c r="A32" s="1" t="s">
        <v>31</v>
      </c>
      <c r="B32" s="81">
        <v>13.5</v>
      </c>
      <c r="C32" s="81">
        <v>9.9</v>
      </c>
      <c r="D32" s="81">
        <v>1.8</v>
      </c>
      <c r="E32" s="81">
        <v>0.52200000000000002</v>
      </c>
      <c r="F32" s="81">
        <f>PI()*((C32/2)^2)/100</f>
        <v>0.76976873994583916</v>
      </c>
    </row>
    <row r="33" spans="1:6">
      <c r="A33" s="1" t="s">
        <v>32</v>
      </c>
      <c r="B33" s="81">
        <v>16</v>
      </c>
      <c r="C33" s="81">
        <v>12.4</v>
      </c>
      <c r="D33" s="81">
        <v>1.8</v>
      </c>
      <c r="E33" s="81">
        <v>0.63200000000000001</v>
      </c>
      <c r="F33" s="81">
        <f>PI()*((C33/2)^2)/100</f>
        <v>1.2076282160399168</v>
      </c>
    </row>
    <row r="34" spans="1:6">
      <c r="B34" s="81"/>
      <c r="C34" s="81"/>
      <c r="D34" s="81"/>
      <c r="E34" s="81"/>
      <c r="F34" s="81"/>
    </row>
    <row r="35" spans="1:6">
      <c r="B35" s="81"/>
      <c r="C35" s="81"/>
      <c r="D35" s="81"/>
      <c r="E35" s="81"/>
      <c r="F35" s="81"/>
    </row>
    <row r="36" spans="1:6">
      <c r="A36" s="1" t="s">
        <v>33</v>
      </c>
      <c r="B36" s="81">
        <v>17.2</v>
      </c>
      <c r="C36" s="81">
        <v>13.6</v>
      </c>
      <c r="D36" s="81">
        <v>1.8</v>
      </c>
      <c r="E36" s="81">
        <v>0.68799999999999994</v>
      </c>
      <c r="F36" s="81">
        <f>PI()*((C36/2)^2)/100</f>
        <v>1.45267244301992</v>
      </c>
    </row>
    <row r="37" spans="1:6">
      <c r="B37" s="81"/>
      <c r="C37" s="81"/>
      <c r="D37" s="81"/>
      <c r="E37" s="81"/>
      <c r="F37" s="81"/>
    </row>
    <row r="38" spans="1:6">
      <c r="A38" s="1" t="s">
        <v>34</v>
      </c>
      <c r="B38" s="81">
        <v>20</v>
      </c>
      <c r="C38" s="81">
        <v>16</v>
      </c>
      <c r="D38" s="81">
        <v>2</v>
      </c>
      <c r="E38" s="81">
        <v>0.89</v>
      </c>
      <c r="F38" s="81">
        <f>PI()*((C38/2)^2)/100</f>
        <v>2.0106192982974678</v>
      </c>
    </row>
    <row r="39" spans="1:6">
      <c r="A39" s="1" t="s">
        <v>35</v>
      </c>
      <c r="B39" s="81">
        <v>21.3</v>
      </c>
      <c r="C39" s="81">
        <v>17.3</v>
      </c>
      <c r="D39" s="81">
        <v>2</v>
      </c>
      <c r="E39" s="81">
        <v>0.96199999999999997</v>
      </c>
      <c r="F39" s="81">
        <f>PI()*((C39/2)^2)/100</f>
        <v>2.3506181632322232</v>
      </c>
    </row>
    <row r="40" spans="1:6">
      <c r="A40" s="1" t="s">
        <v>17</v>
      </c>
      <c r="B40" s="81">
        <v>25</v>
      </c>
      <c r="C40" s="81">
        <v>21</v>
      </c>
      <c r="D40" s="81">
        <v>2</v>
      </c>
      <c r="E40" s="81">
        <v>1.1299999999999999</v>
      </c>
      <c r="F40" s="81">
        <f>PI()*((C40/2)^2)/100</f>
        <v>3.4636059005827469</v>
      </c>
    </row>
    <row r="41" spans="1:6">
      <c r="A41" s="84" t="s">
        <v>36</v>
      </c>
      <c r="B41" s="81">
        <v>26.9</v>
      </c>
      <c r="C41" s="81">
        <v>22.3</v>
      </c>
      <c r="D41" s="81">
        <v>2.2999999999999998</v>
      </c>
      <c r="E41" s="81">
        <v>1.41</v>
      </c>
      <c r="F41" s="81">
        <f>PI()*((C41/2)^2)/100</f>
        <v>3.9057065267591708</v>
      </c>
    </row>
    <row r="42" spans="1:6">
      <c r="A42" s="84"/>
      <c r="B42" s="81"/>
      <c r="C42" s="81"/>
      <c r="D42" s="81"/>
      <c r="E42" s="81"/>
      <c r="F42" s="81"/>
    </row>
    <row r="43" spans="1:6">
      <c r="A43" s="84" t="s">
        <v>37</v>
      </c>
      <c r="B43" s="81">
        <v>30</v>
      </c>
      <c r="C43" s="81">
        <v>24.8</v>
      </c>
      <c r="D43" s="81">
        <v>2.6</v>
      </c>
      <c r="E43" s="81">
        <v>1.71</v>
      </c>
      <c r="F43" s="81">
        <f>PI()*((C43/2)^2)/100</f>
        <v>4.8305128641596671</v>
      </c>
    </row>
    <row r="44" spans="1:6">
      <c r="A44" s="82" t="s">
        <v>18</v>
      </c>
      <c r="B44" s="81">
        <v>31.8</v>
      </c>
      <c r="C44" s="81">
        <v>26.6</v>
      </c>
      <c r="D44" s="81">
        <v>2.6</v>
      </c>
      <c r="E44" s="81">
        <v>1.88</v>
      </c>
      <c r="F44" s="81">
        <f>PI()*((C44/2)^2)/100</f>
        <v>5.5571632449349853</v>
      </c>
    </row>
    <row r="45" spans="1:6">
      <c r="A45" s="82"/>
      <c r="B45" s="81"/>
      <c r="C45" s="81"/>
      <c r="D45" s="81"/>
      <c r="E45" s="81"/>
      <c r="F45" s="81"/>
    </row>
    <row r="46" spans="1:6">
      <c r="A46" s="85" t="s">
        <v>38</v>
      </c>
      <c r="B46" s="81">
        <v>33.700000000000003</v>
      </c>
      <c r="C46" s="81">
        <v>28.5</v>
      </c>
      <c r="D46" s="81">
        <v>2.6</v>
      </c>
      <c r="E46" s="81">
        <v>2.0099999999999998</v>
      </c>
      <c r="F46" s="81">
        <f>PI()*((C46/2)^2)/100</f>
        <v>6.3793965821957741</v>
      </c>
    </row>
    <row r="47" spans="1:6">
      <c r="A47" s="82" t="s">
        <v>39</v>
      </c>
      <c r="B47" s="81">
        <v>35</v>
      </c>
      <c r="C47" s="81">
        <v>29.8</v>
      </c>
      <c r="D47" s="81">
        <v>2.6</v>
      </c>
      <c r="E47" s="81">
        <v>2.08</v>
      </c>
      <c r="F47" s="81">
        <f>PI()*((C47/2)^2)/100</f>
        <v>6.9746498502347007</v>
      </c>
    </row>
    <row r="48" spans="1:6">
      <c r="A48" s="82" t="s">
        <v>19</v>
      </c>
      <c r="B48" s="81">
        <v>38</v>
      </c>
      <c r="C48" s="81">
        <v>32.799999999999997</v>
      </c>
      <c r="D48" s="81">
        <v>2.6</v>
      </c>
      <c r="E48" s="81">
        <v>2.29</v>
      </c>
      <c r="F48" s="81">
        <f>PI()*((C48/2)^2)/100</f>
        <v>8.4496276010951075</v>
      </c>
    </row>
    <row r="49" spans="1:6">
      <c r="A49" s="82"/>
      <c r="B49" s="81"/>
      <c r="C49" s="81"/>
      <c r="D49" s="81"/>
      <c r="E49" s="81"/>
      <c r="F49" s="81"/>
    </row>
    <row r="50" spans="1:6">
      <c r="A50" s="84" t="s">
        <v>40</v>
      </c>
      <c r="B50" s="81">
        <v>42.4</v>
      </c>
      <c r="C50" s="81">
        <v>37.200000000000003</v>
      </c>
      <c r="D50" s="81">
        <v>2.6</v>
      </c>
      <c r="E50" s="81">
        <v>2.57</v>
      </c>
      <c r="F50" s="81">
        <f t="shared" ref="F50:F55" si="1">PI()*((C50/2)^2)/100</f>
        <v>10.868653944359249</v>
      </c>
    </row>
    <row r="51" spans="1:6">
      <c r="A51" s="82" t="s">
        <v>41</v>
      </c>
      <c r="B51" s="81">
        <v>44.5</v>
      </c>
      <c r="C51" s="81">
        <v>39.299999999999997</v>
      </c>
      <c r="D51" s="81">
        <v>2.6</v>
      </c>
      <c r="E51" s="81">
        <v>2.7</v>
      </c>
      <c r="F51" s="81">
        <f t="shared" si="1"/>
        <v>12.130396093857248</v>
      </c>
    </row>
    <row r="52" spans="1:6">
      <c r="A52" s="84" t="s">
        <v>42</v>
      </c>
      <c r="B52" s="81">
        <v>48.3</v>
      </c>
      <c r="C52" s="81">
        <v>43.1</v>
      </c>
      <c r="D52" s="81">
        <v>2.6</v>
      </c>
      <c r="E52" s="81">
        <v>2.95</v>
      </c>
      <c r="F52" s="81">
        <f t="shared" si="1"/>
        <v>14.589634823087341</v>
      </c>
    </row>
    <row r="53" spans="1:6">
      <c r="A53" s="1" t="s">
        <v>20</v>
      </c>
      <c r="B53" s="81">
        <v>51</v>
      </c>
      <c r="C53" s="81">
        <v>45.8</v>
      </c>
      <c r="D53" s="81">
        <v>2.6</v>
      </c>
      <c r="E53" s="81">
        <v>3.12</v>
      </c>
      <c r="F53" s="81">
        <f t="shared" si="1"/>
        <v>16.474826034690235</v>
      </c>
    </row>
    <row r="54" spans="1:6">
      <c r="A54" s="82" t="s">
        <v>43</v>
      </c>
      <c r="B54" s="81">
        <v>54</v>
      </c>
      <c r="C54" s="81">
        <v>48.8</v>
      </c>
      <c r="D54" s="81">
        <v>2.6</v>
      </c>
      <c r="E54" s="81">
        <v>3.3</v>
      </c>
      <c r="F54" s="81">
        <f t="shared" si="1"/>
        <v>18.703786022412189</v>
      </c>
    </row>
    <row r="55" spans="1:6">
      <c r="A55" s="82" t="s">
        <v>44</v>
      </c>
      <c r="B55" s="81">
        <v>57</v>
      </c>
      <c r="C55" s="81">
        <v>51.2</v>
      </c>
      <c r="D55" s="81">
        <v>2.9</v>
      </c>
      <c r="E55" s="81">
        <v>3.9</v>
      </c>
      <c r="F55" s="81">
        <f t="shared" si="1"/>
        <v>20.588741614566072</v>
      </c>
    </row>
    <row r="56" spans="1:6">
      <c r="A56" s="82"/>
      <c r="B56" s="81"/>
      <c r="C56" s="81"/>
      <c r="D56" s="81"/>
      <c r="E56" s="81"/>
      <c r="F56" s="81"/>
    </row>
    <row r="57" spans="1:6">
      <c r="A57" s="82" t="s">
        <v>45</v>
      </c>
      <c r="B57" s="81">
        <v>60.3</v>
      </c>
      <c r="C57" s="81">
        <v>54.5</v>
      </c>
      <c r="D57" s="81">
        <v>2.9</v>
      </c>
      <c r="E57" s="81">
        <v>4.1399999999999997</v>
      </c>
      <c r="F57" s="81">
        <f t="shared" ref="F57:F62" si="2">PI()*((C57/2)^2)/100</f>
        <v>23.328288948312707</v>
      </c>
    </row>
    <row r="58" spans="1:6">
      <c r="A58" s="82" t="s">
        <v>21</v>
      </c>
      <c r="B58" s="81">
        <v>63.5</v>
      </c>
      <c r="C58" s="81">
        <v>57.7</v>
      </c>
      <c r="D58" s="81">
        <v>2.9</v>
      </c>
      <c r="E58" s="81">
        <v>4.3600000000000003</v>
      </c>
      <c r="F58" s="81">
        <f t="shared" si="2"/>
        <v>26.148182514174909</v>
      </c>
    </row>
    <row r="59" spans="1:6">
      <c r="A59" s="82" t="s">
        <v>46</v>
      </c>
      <c r="B59" s="81">
        <v>70</v>
      </c>
      <c r="C59" s="81">
        <v>64.2</v>
      </c>
      <c r="D59" s="81">
        <v>2.9</v>
      </c>
      <c r="E59" s="81">
        <v>4.83</v>
      </c>
      <c r="F59" s="81">
        <f t="shared" si="2"/>
        <v>32.371284861854591</v>
      </c>
    </row>
    <row r="60" spans="1:6">
      <c r="A60" s="1" t="s">
        <v>22</v>
      </c>
      <c r="B60" s="81">
        <v>76.099999999999994</v>
      </c>
      <c r="C60" s="81">
        <v>70.3</v>
      </c>
      <c r="D60" s="81">
        <v>2.9</v>
      </c>
      <c r="E60" s="81">
        <v>5.28</v>
      </c>
      <c r="F60" s="81">
        <f t="shared" si="2"/>
        <v>38.815084093448945</v>
      </c>
    </row>
    <row r="61" spans="1:6">
      <c r="A61" s="82" t="s">
        <v>47</v>
      </c>
      <c r="B61" s="81">
        <v>82.5</v>
      </c>
      <c r="C61" s="81">
        <v>76.099999999999994</v>
      </c>
      <c r="D61" s="81">
        <v>3.2</v>
      </c>
      <c r="E61" s="81">
        <v>6.31</v>
      </c>
      <c r="F61" s="81">
        <f t="shared" si="2"/>
        <v>45.484056978489363</v>
      </c>
    </row>
    <row r="62" spans="1:6">
      <c r="A62" s="82" t="s">
        <v>23</v>
      </c>
      <c r="B62" s="81">
        <v>88.9</v>
      </c>
      <c r="C62" s="81">
        <v>82.5</v>
      </c>
      <c r="D62" s="81">
        <v>3.2</v>
      </c>
      <c r="E62" s="81">
        <v>6.81</v>
      </c>
      <c r="F62" s="81">
        <f t="shared" si="2"/>
        <v>53.456162496238818</v>
      </c>
    </row>
    <row r="63" spans="1:6">
      <c r="A63" s="82"/>
      <c r="B63" s="81"/>
      <c r="C63" s="81"/>
      <c r="D63" s="81"/>
      <c r="E63" s="81"/>
      <c r="F63" s="81"/>
    </row>
    <row r="64" spans="1:6">
      <c r="A64" s="82" t="s">
        <v>48</v>
      </c>
      <c r="B64" s="81">
        <v>95</v>
      </c>
      <c r="C64" s="81">
        <v>87.8</v>
      </c>
      <c r="D64" s="81">
        <v>3.6</v>
      </c>
      <c r="E64" s="81">
        <v>8.11</v>
      </c>
      <c r="F64" s="81">
        <f t="shared" ref="F64:F69" si="3">PI()*((C64/2)^2)/100</f>
        <v>60.545087779247844</v>
      </c>
    </row>
    <row r="65" spans="1:6">
      <c r="A65" s="1" t="s">
        <v>24</v>
      </c>
      <c r="B65" s="81">
        <v>101.6</v>
      </c>
      <c r="C65" s="81">
        <v>94.4</v>
      </c>
      <c r="D65" s="81">
        <v>3.6</v>
      </c>
      <c r="E65" s="81">
        <v>8.76</v>
      </c>
      <c r="F65" s="81">
        <f t="shared" si="3"/>
        <v>69.989657773734848</v>
      </c>
    </row>
    <row r="66" spans="1:6">
      <c r="A66" s="82" t="s">
        <v>49</v>
      </c>
      <c r="B66" s="81">
        <v>108</v>
      </c>
      <c r="C66" s="81">
        <v>100.8</v>
      </c>
      <c r="D66" s="81">
        <v>3.6</v>
      </c>
      <c r="E66" s="81">
        <v>9.33</v>
      </c>
      <c r="F66" s="81">
        <f t="shared" si="3"/>
        <v>79.801479949426479</v>
      </c>
    </row>
    <row r="67" spans="1:6">
      <c r="A67" s="82" t="s">
        <v>25</v>
      </c>
      <c r="B67" s="81">
        <v>114.3</v>
      </c>
      <c r="C67" s="81">
        <v>107.1</v>
      </c>
      <c r="D67" s="81">
        <v>3.6</v>
      </c>
      <c r="E67" s="81">
        <v>9.9</v>
      </c>
      <c r="F67" s="81">
        <f t="shared" si="3"/>
        <v>90.088389474157225</v>
      </c>
    </row>
    <row r="68" spans="1:6">
      <c r="A68" s="82" t="s">
        <v>50</v>
      </c>
      <c r="B68" s="81">
        <v>121</v>
      </c>
      <c r="C68" s="81">
        <v>113</v>
      </c>
      <c r="D68" s="81">
        <v>4</v>
      </c>
      <c r="E68" s="81">
        <v>11.5</v>
      </c>
      <c r="F68" s="81">
        <f t="shared" si="3"/>
        <v>100.28749148422017</v>
      </c>
    </row>
    <row r="69" spans="1:6">
      <c r="A69" s="1" t="s">
        <v>26</v>
      </c>
      <c r="B69" s="81">
        <v>127</v>
      </c>
      <c r="C69" s="81">
        <v>119</v>
      </c>
      <c r="D69" s="81">
        <v>4</v>
      </c>
      <c r="E69" s="81">
        <v>12.2</v>
      </c>
      <c r="F69" s="81">
        <f t="shared" si="3"/>
        <v>111.22023391871265</v>
      </c>
    </row>
    <row r="70" spans="1:6">
      <c r="B70" s="81"/>
      <c r="C70" s="81"/>
      <c r="D70" s="81"/>
      <c r="E70" s="81"/>
      <c r="F70" s="81"/>
    </row>
    <row r="71" spans="1:6">
      <c r="A71" s="82" t="s">
        <v>51</v>
      </c>
      <c r="B71" s="81">
        <v>133</v>
      </c>
      <c r="C71" s="81">
        <v>125</v>
      </c>
      <c r="D71" s="81">
        <v>4</v>
      </c>
      <c r="E71" s="81">
        <v>12.8</v>
      </c>
      <c r="F71" s="81">
        <f t="shared" ref="F71:F76" si="4">PI()*((C71/2)^2)/100</f>
        <v>122.7184630308513</v>
      </c>
    </row>
    <row r="72" spans="1:6">
      <c r="A72" s="82" t="s">
        <v>52</v>
      </c>
      <c r="B72" s="81">
        <v>139.69999999999999</v>
      </c>
      <c r="C72" s="81">
        <v>131.69999999999999</v>
      </c>
      <c r="D72" s="81">
        <v>4</v>
      </c>
      <c r="E72" s="81">
        <v>13.5</v>
      </c>
      <c r="F72" s="81">
        <f t="shared" si="4"/>
        <v>136.22644750330764</v>
      </c>
    </row>
    <row r="73" spans="1:6">
      <c r="A73" s="82" t="s">
        <v>53</v>
      </c>
      <c r="B73" s="81">
        <v>146</v>
      </c>
      <c r="C73" s="81">
        <v>137</v>
      </c>
      <c r="D73" s="81">
        <v>4.5</v>
      </c>
      <c r="E73" s="81">
        <v>15.7</v>
      </c>
      <c r="F73" s="81">
        <f t="shared" si="4"/>
        <v>147.41138128806705</v>
      </c>
    </row>
    <row r="74" spans="1:6">
      <c r="A74" s="1" t="s">
        <v>27</v>
      </c>
      <c r="B74" s="81">
        <v>152.4</v>
      </c>
      <c r="C74" s="81">
        <v>143.4</v>
      </c>
      <c r="D74" s="81">
        <v>4.5</v>
      </c>
      <c r="E74" s="81">
        <v>16.399999999999999</v>
      </c>
      <c r="F74" s="81">
        <f t="shared" si="4"/>
        <v>161.50582256913233</v>
      </c>
    </row>
    <row r="75" spans="1:6">
      <c r="A75" s="82" t="s">
        <v>54</v>
      </c>
      <c r="B75" s="81">
        <v>159</v>
      </c>
      <c r="C75" s="81">
        <v>150</v>
      </c>
      <c r="D75" s="81">
        <v>4.5</v>
      </c>
      <c r="E75" s="81">
        <v>17.100000000000001</v>
      </c>
      <c r="F75" s="81">
        <f t="shared" si="4"/>
        <v>176.71458676442589</v>
      </c>
    </row>
    <row r="76" spans="1:6">
      <c r="A76" s="82" t="s">
        <v>55</v>
      </c>
      <c r="B76" s="81">
        <v>165.1</v>
      </c>
      <c r="C76" s="81">
        <v>156.1</v>
      </c>
      <c r="D76" s="81">
        <v>4.5</v>
      </c>
      <c r="E76" s="81">
        <v>17.8</v>
      </c>
      <c r="F76" s="81">
        <f t="shared" si="4"/>
        <v>191.37961981119935</v>
      </c>
    </row>
    <row r="77" spans="1:6">
      <c r="A77" s="82"/>
      <c r="B77" s="81"/>
      <c r="C77" s="81"/>
      <c r="D77" s="81"/>
      <c r="E77" s="81"/>
      <c r="F77" s="81"/>
    </row>
    <row r="78" spans="1:6">
      <c r="A78" s="82" t="s">
        <v>56</v>
      </c>
      <c r="B78" s="81">
        <v>168.1</v>
      </c>
      <c r="C78" s="81">
        <v>159.30000000000001</v>
      </c>
      <c r="D78" s="81">
        <v>4.5</v>
      </c>
      <c r="E78" s="81">
        <v>18.100000000000001</v>
      </c>
      <c r="F78" s="81">
        <f t="shared" ref="F78:F83" si="5">PI()*((C78/2)^2)/100</f>
        <v>199.30648639473714</v>
      </c>
    </row>
    <row r="79" spans="1:6">
      <c r="A79" s="82" t="s">
        <v>57</v>
      </c>
      <c r="B79" s="81">
        <v>171</v>
      </c>
      <c r="C79" s="81">
        <v>162</v>
      </c>
      <c r="D79" s="81">
        <v>4.5</v>
      </c>
      <c r="E79" s="81">
        <v>18.5</v>
      </c>
      <c r="F79" s="81">
        <f t="shared" si="5"/>
        <v>206.11989400202634</v>
      </c>
    </row>
    <row r="80" spans="1:6">
      <c r="A80" s="1" t="s">
        <v>58</v>
      </c>
      <c r="B80" s="81">
        <v>177.8</v>
      </c>
      <c r="C80" s="81">
        <v>167.8</v>
      </c>
      <c r="D80" s="81">
        <v>5</v>
      </c>
      <c r="E80" s="81">
        <v>21.3</v>
      </c>
      <c r="F80" s="81">
        <f t="shared" si="5"/>
        <v>221.1433042307581</v>
      </c>
    </row>
    <row r="81" spans="1:6">
      <c r="A81" s="82" t="s">
        <v>59</v>
      </c>
      <c r="B81" s="81">
        <v>191</v>
      </c>
      <c r="C81" s="81">
        <v>180.2</v>
      </c>
      <c r="D81" s="81">
        <v>5.4</v>
      </c>
      <c r="E81" s="81">
        <v>24.7</v>
      </c>
      <c r="F81" s="81">
        <f t="shared" si="5"/>
        <v>255.03480577768474</v>
      </c>
    </row>
    <row r="82" spans="1:6">
      <c r="A82" s="82" t="s">
        <v>60</v>
      </c>
      <c r="B82" s="81">
        <v>193.7</v>
      </c>
      <c r="C82" s="81">
        <v>182.9</v>
      </c>
      <c r="D82" s="81">
        <v>5.4</v>
      </c>
      <c r="E82" s="81">
        <v>25</v>
      </c>
      <c r="F82" s="81">
        <f t="shared" si="5"/>
        <v>262.73461375218432</v>
      </c>
    </row>
    <row r="83" spans="1:6">
      <c r="A83" s="82" t="s">
        <v>61</v>
      </c>
      <c r="B83" s="81">
        <v>216</v>
      </c>
      <c r="C83" s="81">
        <v>204</v>
      </c>
      <c r="D83" s="81">
        <v>6</v>
      </c>
      <c r="E83" s="81">
        <v>31.1</v>
      </c>
      <c r="F83" s="81">
        <f t="shared" si="5"/>
        <v>326.85129967948205</v>
      </c>
    </row>
    <row r="84" spans="1:6">
      <c r="A84" s="82"/>
      <c r="B84" s="81"/>
      <c r="C84" s="81"/>
      <c r="D84" s="81"/>
      <c r="E84" s="81"/>
      <c r="F84" s="81"/>
    </row>
    <row r="85" spans="1:6">
      <c r="A85" s="82" t="s">
        <v>62</v>
      </c>
      <c r="B85" s="81">
        <v>219</v>
      </c>
      <c r="C85" s="81">
        <v>207.3</v>
      </c>
      <c r="D85" s="81">
        <v>5.9</v>
      </c>
      <c r="E85" s="81">
        <v>31</v>
      </c>
      <c r="F85" s="81">
        <f t="shared" ref="F85:F90" si="6">PI()*((C85/2)^2)/100</f>
        <v>337.51143041145934</v>
      </c>
    </row>
    <row r="86" spans="1:6">
      <c r="A86" s="1" t="s">
        <v>63</v>
      </c>
      <c r="B86" s="81">
        <v>241</v>
      </c>
      <c r="C86" s="81">
        <v>228.4</v>
      </c>
      <c r="D86" s="81">
        <v>6.3</v>
      </c>
      <c r="E86" s="81">
        <v>36.5</v>
      </c>
      <c r="F86" s="81">
        <f t="shared" si="6"/>
        <v>409.71520414762796</v>
      </c>
    </row>
    <row r="87" spans="1:6">
      <c r="A87" s="82" t="s">
        <v>64</v>
      </c>
      <c r="B87" s="81">
        <v>267</v>
      </c>
      <c r="C87" s="81">
        <v>254.4</v>
      </c>
      <c r="D87" s="81">
        <v>6.3</v>
      </c>
      <c r="E87" s="81">
        <v>40.6</v>
      </c>
      <c r="F87" s="81">
        <f t="shared" si="6"/>
        <v>508.30466480258275</v>
      </c>
    </row>
    <row r="88" spans="1:6">
      <c r="A88" s="82" t="s">
        <v>65</v>
      </c>
      <c r="B88" s="81">
        <v>273</v>
      </c>
      <c r="C88" s="81">
        <v>260.39999999999998</v>
      </c>
      <c r="D88" s="81">
        <v>6.3</v>
      </c>
      <c r="E88" s="81">
        <v>41.6</v>
      </c>
      <c r="F88" s="81">
        <f t="shared" si="6"/>
        <v>532.56404327360315</v>
      </c>
    </row>
    <row r="89" spans="1:6">
      <c r="A89" s="82" t="s">
        <v>66</v>
      </c>
      <c r="B89" s="81">
        <v>298.5</v>
      </c>
      <c r="C89" s="81">
        <v>284.3</v>
      </c>
      <c r="D89" s="81">
        <v>7.1</v>
      </c>
      <c r="E89" s="81">
        <v>51.1</v>
      </c>
      <c r="F89" s="81">
        <f t="shared" si="6"/>
        <v>634.80976799862231</v>
      </c>
    </row>
    <row r="90" spans="1:6">
      <c r="A90" s="82" t="s">
        <v>67</v>
      </c>
      <c r="B90" s="81">
        <v>318</v>
      </c>
      <c r="C90" s="81">
        <v>303</v>
      </c>
      <c r="D90" s="81">
        <v>7.5</v>
      </c>
      <c r="E90" s="81">
        <v>57.4</v>
      </c>
      <c r="F90" s="81">
        <f t="shared" si="6"/>
        <v>721.06619983356325</v>
      </c>
    </row>
    <row r="91" spans="1:6">
      <c r="A91" s="82"/>
      <c r="B91" s="81"/>
      <c r="C91" s="81"/>
      <c r="D91" s="81"/>
      <c r="E91" s="81"/>
      <c r="F91" s="81"/>
    </row>
    <row r="92" spans="1:6">
      <c r="A92" s="82" t="s">
        <v>68</v>
      </c>
      <c r="B92" s="81">
        <v>323.89999999999998</v>
      </c>
      <c r="C92" s="81">
        <v>309.7</v>
      </c>
      <c r="D92" s="81">
        <v>7.1</v>
      </c>
      <c r="E92" s="81">
        <v>55.6</v>
      </c>
      <c r="F92" s="81">
        <f t="shared" ref="F92:F97" si="7">PI()*((C92/2)^2)/100</f>
        <v>753.30750129937553</v>
      </c>
    </row>
    <row r="93" spans="1:6">
      <c r="A93" s="1" t="s">
        <v>69</v>
      </c>
      <c r="B93" s="81">
        <v>355.6</v>
      </c>
      <c r="C93" s="81">
        <v>339.6</v>
      </c>
      <c r="D93" s="81">
        <v>8</v>
      </c>
      <c r="E93" s="81">
        <v>68.3</v>
      </c>
      <c r="F93" s="81">
        <f t="shared" si="7"/>
        <v>905.78525052007069</v>
      </c>
    </row>
    <row r="94" spans="1:6">
      <c r="A94" s="82" t="s">
        <v>70</v>
      </c>
      <c r="B94" s="81">
        <v>368</v>
      </c>
      <c r="C94" s="81">
        <v>352</v>
      </c>
      <c r="D94" s="81">
        <v>8</v>
      </c>
      <c r="E94" s="81">
        <v>70.8</v>
      </c>
      <c r="F94" s="81">
        <f t="shared" si="7"/>
        <v>973.13974037597438</v>
      </c>
    </row>
    <row r="95" spans="1:6">
      <c r="A95" s="83" t="s">
        <v>71</v>
      </c>
      <c r="B95" s="81">
        <v>406.4</v>
      </c>
      <c r="C95" s="81">
        <v>388.8</v>
      </c>
      <c r="D95" s="81">
        <v>8.8000000000000007</v>
      </c>
      <c r="E95" s="81">
        <v>85.9</v>
      </c>
      <c r="F95" s="81">
        <f t="shared" si="7"/>
        <v>1187.2505894516717</v>
      </c>
    </row>
    <row r="96" spans="1:6">
      <c r="A96" s="82" t="s">
        <v>72</v>
      </c>
      <c r="B96" s="81">
        <v>419</v>
      </c>
      <c r="C96" s="81">
        <v>399</v>
      </c>
      <c r="D96" s="81">
        <v>10</v>
      </c>
      <c r="E96" s="81">
        <v>101</v>
      </c>
      <c r="F96" s="81">
        <f t="shared" si="7"/>
        <v>1250.3617301103716</v>
      </c>
    </row>
    <row r="97" spans="1:6">
      <c r="A97" s="1" t="s">
        <v>73</v>
      </c>
      <c r="B97" s="81">
        <v>457.2</v>
      </c>
      <c r="C97" s="81">
        <v>437.2</v>
      </c>
      <c r="D97" s="81">
        <v>10</v>
      </c>
      <c r="E97" s="81">
        <v>110</v>
      </c>
      <c r="F97" s="81">
        <f t="shared" si="7"/>
        <v>1501.240208807357</v>
      </c>
    </row>
    <row r="98" spans="1:6">
      <c r="B98" s="81"/>
      <c r="C98" s="81"/>
      <c r="D98" s="81"/>
      <c r="E98" s="81"/>
      <c r="F98" s="81"/>
    </row>
    <row r="99" spans="1:6">
      <c r="A99" s="82" t="s">
        <v>74</v>
      </c>
      <c r="B99" s="81">
        <v>470</v>
      </c>
      <c r="C99" s="81">
        <v>449</v>
      </c>
      <c r="D99" s="81">
        <v>10.5</v>
      </c>
      <c r="E99" s="81">
        <v>119</v>
      </c>
      <c r="F99" s="81">
        <f>PI()*((C99/2)^2)/100</f>
        <v>1583.3705513908897</v>
      </c>
    </row>
    <row r="100" spans="1:6">
      <c r="A100" s="1" t="s">
        <v>75</v>
      </c>
      <c r="B100" s="81">
        <v>508</v>
      </c>
      <c r="C100" s="81">
        <v>486</v>
      </c>
      <c r="D100" s="81">
        <v>11</v>
      </c>
      <c r="E100" s="81">
        <v>135</v>
      </c>
      <c r="F100" s="81">
        <f>PI()*((C100/2)^2)/100</f>
        <v>1855.0790460182368</v>
      </c>
    </row>
    <row r="101" spans="1:6">
      <c r="A101" s="82" t="s">
        <v>76</v>
      </c>
      <c r="B101" s="81">
        <v>521</v>
      </c>
      <c r="C101" s="81">
        <v>498</v>
      </c>
      <c r="D101" s="81">
        <v>11.5</v>
      </c>
      <c r="E101" s="81">
        <v>144</v>
      </c>
      <c r="F101" s="81">
        <f>PI()*((C101/2)^2)/100</f>
        <v>1947.8188611522075</v>
      </c>
    </row>
    <row r="102" spans="1:6">
      <c r="A102" s="1" t="s">
        <v>77</v>
      </c>
      <c r="B102" s="81">
        <v>558.79999999999995</v>
      </c>
      <c r="C102" s="81">
        <v>533.29999999999995</v>
      </c>
      <c r="D102" s="81">
        <v>12.5</v>
      </c>
      <c r="E102" s="81">
        <v>170</v>
      </c>
      <c r="F102" s="81">
        <f>PI()*((C102/2)^2)/100</f>
        <v>2233.7421985990686</v>
      </c>
    </row>
    <row r="108" spans="1:6">
      <c r="C108" s="83" t="s">
        <v>78</v>
      </c>
      <c r="D108" s="83" t="s">
        <v>79</v>
      </c>
    </row>
    <row r="110" spans="1:6">
      <c r="A110" s="1" t="s">
        <v>2</v>
      </c>
      <c r="B110" s="1" t="s">
        <v>4</v>
      </c>
      <c r="C110" s="1" t="s">
        <v>3</v>
      </c>
      <c r="D110" s="1" t="s">
        <v>5</v>
      </c>
      <c r="E110" s="1" t="s">
        <v>6</v>
      </c>
      <c r="F110" s="1" t="s">
        <v>7</v>
      </c>
    </row>
    <row r="111" spans="1:6">
      <c r="A111" s="1" t="s">
        <v>8</v>
      </c>
      <c r="B111" s="79" t="s">
        <v>9</v>
      </c>
      <c r="C111" s="79" t="s">
        <v>9</v>
      </c>
      <c r="D111" s="79" t="s">
        <v>9</v>
      </c>
      <c r="E111" s="79" t="s">
        <v>10</v>
      </c>
      <c r="F111" s="80" t="s">
        <v>11</v>
      </c>
    </row>
    <row r="112" spans="1:6">
      <c r="B112" s="1">
        <v>6</v>
      </c>
      <c r="C112" s="1">
        <v>8</v>
      </c>
      <c r="D112" s="1">
        <v>1</v>
      </c>
      <c r="E112" s="1">
        <v>0.19600000000000001</v>
      </c>
      <c r="F112" s="81">
        <f>PI()*((B112/2)^2)/100</f>
        <v>0.28274333882308139</v>
      </c>
    </row>
    <row r="113" spans="2:6">
      <c r="B113" s="1">
        <v>8</v>
      </c>
      <c r="C113" s="1">
        <v>10</v>
      </c>
      <c r="D113" s="1">
        <v>1</v>
      </c>
      <c r="E113" s="1">
        <v>0.252</v>
      </c>
      <c r="F113" s="81">
        <f t="shared" ref="F113:F122" si="8">PI()*((B113/2)^2)/100</f>
        <v>0.50265482457436694</v>
      </c>
    </row>
    <row r="114" spans="2:6">
      <c r="B114" s="1">
        <v>10</v>
      </c>
      <c r="C114" s="1">
        <v>12</v>
      </c>
      <c r="D114" s="1">
        <v>1</v>
      </c>
      <c r="E114" s="1">
        <v>0.308</v>
      </c>
      <c r="F114" s="81">
        <f t="shared" si="8"/>
        <v>0.78539816339744828</v>
      </c>
    </row>
    <row r="115" spans="2:6">
      <c r="B115" s="1">
        <v>13</v>
      </c>
      <c r="C115" s="1">
        <v>15</v>
      </c>
      <c r="D115" s="1">
        <v>1</v>
      </c>
      <c r="E115" s="1">
        <v>0.39100000000000001</v>
      </c>
      <c r="F115" s="81">
        <f t="shared" si="8"/>
        <v>1.3273228961416876</v>
      </c>
    </row>
    <row r="116" spans="2:6">
      <c r="B116" s="1">
        <v>16</v>
      </c>
      <c r="C116" s="1">
        <v>18</v>
      </c>
      <c r="D116" s="1">
        <v>1</v>
      </c>
      <c r="E116" s="1">
        <v>0.47499999999999998</v>
      </c>
      <c r="F116" s="81">
        <f t="shared" si="8"/>
        <v>2.0106192982974678</v>
      </c>
    </row>
    <row r="117" spans="2:6">
      <c r="B117" s="1">
        <v>20</v>
      </c>
      <c r="C117" s="1">
        <v>22</v>
      </c>
      <c r="D117" s="1">
        <v>1</v>
      </c>
      <c r="E117" s="1">
        <v>0.58699999999999997</v>
      </c>
      <c r="F117" s="81">
        <f t="shared" si="8"/>
        <v>3.1415926535897931</v>
      </c>
    </row>
    <row r="118" spans="2:6">
      <c r="B118" s="1">
        <v>26</v>
      </c>
      <c r="C118" s="1">
        <v>28</v>
      </c>
      <c r="D118" s="1">
        <v>1</v>
      </c>
      <c r="E118" s="1">
        <v>0.753</v>
      </c>
      <c r="F118" s="81">
        <f t="shared" si="8"/>
        <v>5.3092915845667505</v>
      </c>
    </row>
    <row r="119" spans="2:6">
      <c r="B119" s="1">
        <v>33</v>
      </c>
      <c r="C119" s="1">
        <v>35</v>
      </c>
      <c r="D119" s="1">
        <v>1</v>
      </c>
      <c r="E119" s="1">
        <v>0.95099999999999996</v>
      </c>
      <c r="F119" s="81">
        <f t="shared" si="8"/>
        <v>8.5529859993982118</v>
      </c>
    </row>
    <row r="120" spans="2:6">
      <c r="B120" s="1">
        <v>39</v>
      </c>
      <c r="C120" s="1">
        <v>42</v>
      </c>
      <c r="D120" s="1">
        <v>1.5</v>
      </c>
      <c r="E120" s="1">
        <v>1.669</v>
      </c>
      <c r="F120" s="81">
        <f t="shared" si="8"/>
        <v>11.945906065275187</v>
      </c>
    </row>
    <row r="121" spans="2:6">
      <c r="B121" s="1">
        <v>51</v>
      </c>
      <c r="C121" s="1">
        <v>54</v>
      </c>
      <c r="D121" s="1">
        <v>1.5</v>
      </c>
      <c r="E121" s="1">
        <v>2.202</v>
      </c>
      <c r="F121" s="81">
        <f t="shared" si="8"/>
        <v>20.428206229967628</v>
      </c>
    </row>
    <row r="122" spans="2:6">
      <c r="B122" s="1">
        <v>61</v>
      </c>
      <c r="C122" s="1">
        <v>64</v>
      </c>
      <c r="D122" s="1">
        <v>1.5</v>
      </c>
      <c r="E122" s="1">
        <v>2.621</v>
      </c>
      <c r="F122" s="81">
        <f t="shared" si="8"/>
        <v>29.224665660019049</v>
      </c>
    </row>
    <row r="127" spans="2:6">
      <c r="C127" s="1" t="s">
        <v>80</v>
      </c>
      <c r="D127" s="1" t="s">
        <v>81</v>
      </c>
    </row>
    <row r="129" spans="1:9">
      <c r="A129" s="83" t="s">
        <v>82</v>
      </c>
      <c r="B129" s="1" t="s">
        <v>83</v>
      </c>
      <c r="C129" s="1" t="s">
        <v>84</v>
      </c>
      <c r="D129" s="1" t="s">
        <v>85</v>
      </c>
      <c r="E129" s="1" t="s">
        <v>86</v>
      </c>
      <c r="F129" s="1" t="s">
        <v>87</v>
      </c>
    </row>
    <row r="130" spans="1:9">
      <c r="C130" s="1">
        <v>1</v>
      </c>
      <c r="D130" s="1">
        <v>2</v>
      </c>
      <c r="E130" s="1">
        <v>3</v>
      </c>
      <c r="F130" s="1">
        <v>4</v>
      </c>
    </row>
    <row r="131" spans="1:9">
      <c r="A131" s="1" t="s">
        <v>88</v>
      </c>
      <c r="C131" s="81">
        <v>1</v>
      </c>
      <c r="D131" s="81">
        <v>2</v>
      </c>
      <c r="E131" s="81">
        <v>3</v>
      </c>
      <c r="F131" s="81">
        <v>3</v>
      </c>
    </row>
    <row r="132" spans="1:9">
      <c r="A132" s="1" t="s">
        <v>89</v>
      </c>
      <c r="B132" s="1" t="s">
        <v>90</v>
      </c>
      <c r="C132" s="81">
        <v>0.68500000000000005</v>
      </c>
      <c r="D132" s="81">
        <v>0.80200000000000005</v>
      </c>
      <c r="E132" s="81">
        <v>2.02</v>
      </c>
      <c r="F132" s="81">
        <v>2.6869999999999998</v>
      </c>
    </row>
    <row r="133" spans="1:9">
      <c r="A133" s="83" t="s">
        <v>91</v>
      </c>
      <c r="C133" s="81">
        <v>0.54</v>
      </c>
      <c r="D133" s="81">
        <v>0.62</v>
      </c>
      <c r="E133" s="81">
        <v>1.5620000000000001</v>
      </c>
      <c r="F133" s="81">
        <v>2.0779999999999998</v>
      </c>
    </row>
    <row r="134" spans="1:9">
      <c r="A134" s="1" t="s">
        <v>92</v>
      </c>
      <c r="C134" s="81">
        <v>58</v>
      </c>
      <c r="D134" s="81">
        <v>42</v>
      </c>
      <c r="E134" s="81"/>
      <c r="F134" s="81"/>
    </row>
    <row r="135" spans="1:9">
      <c r="A135" s="1" t="s">
        <v>93</v>
      </c>
      <c r="C135" s="81">
        <v>4200</v>
      </c>
      <c r="D135" s="81">
        <v>10300</v>
      </c>
      <c r="E135" s="81">
        <v>12050</v>
      </c>
      <c r="F135" s="81">
        <v>11850</v>
      </c>
    </row>
    <row r="136" spans="1:9">
      <c r="A136" s="1" t="s">
        <v>94</v>
      </c>
      <c r="C136" s="81">
        <v>3800</v>
      </c>
      <c r="D136" s="81">
        <v>10000</v>
      </c>
      <c r="E136" s="81">
        <v>11100</v>
      </c>
      <c r="F136" s="81">
        <v>10950</v>
      </c>
    </row>
    <row r="137" spans="1:9">
      <c r="A137" s="1" t="s">
        <v>95</v>
      </c>
      <c r="B137" s="1" t="s">
        <v>96</v>
      </c>
      <c r="C137" s="81">
        <v>80</v>
      </c>
      <c r="D137" s="81">
        <v>220</v>
      </c>
      <c r="E137" s="81">
        <v>300</v>
      </c>
      <c r="F137" s="81">
        <v>370</v>
      </c>
    </row>
    <row r="138" spans="1:9">
      <c r="A138" s="1" t="s">
        <v>97</v>
      </c>
      <c r="C138" s="81">
        <f>C135/(SQRT(C133))</f>
        <v>5715.4760664940823</v>
      </c>
      <c r="D138" s="81">
        <v>12802</v>
      </c>
      <c r="E138" s="81">
        <f>E135/(SQRT(E133))</f>
        <v>9641.542770274742</v>
      </c>
      <c r="F138" s="81">
        <f>F135/(SQRT(F133))</f>
        <v>8220.4497463778571</v>
      </c>
    </row>
    <row r="139" spans="1:9">
      <c r="A139" s="83" t="s">
        <v>98</v>
      </c>
      <c r="B139" s="1" t="s">
        <v>99</v>
      </c>
      <c r="C139" s="81">
        <v>3.49</v>
      </c>
      <c r="D139" s="81">
        <v>9.31</v>
      </c>
      <c r="E139" s="81">
        <v>23.9</v>
      </c>
      <c r="F139" s="81">
        <v>31.1</v>
      </c>
      <c r="I139" s="1">
        <f>ROUND(I143,2)</f>
        <v>0.38</v>
      </c>
    </row>
    <row r="141" spans="1:9">
      <c r="D141" s="1" t="s">
        <v>82</v>
      </c>
    </row>
    <row r="142" spans="1:9">
      <c r="B142" s="1">
        <f>VLOOKUP("D-relativa",TABLA4,3,FALSE)</f>
        <v>0.54</v>
      </c>
      <c r="D142" s="1" t="s">
        <v>100</v>
      </c>
    </row>
    <row r="143" spans="1:9">
      <c r="I143" s="1">
        <f>IF('Gas Natural'!F15&gt;30,IF('Gas Natural'!U7&gt;0,0.35,0.15),Tablas!I146)</f>
        <v>0.37931034482758619</v>
      </c>
    </row>
    <row r="145" spans="1:26">
      <c r="C145" s="1" t="s">
        <v>101</v>
      </c>
      <c r="D145" s="1" t="s">
        <v>102</v>
      </c>
    </row>
    <row r="146" spans="1:26">
      <c r="A146" s="1" t="s">
        <v>103</v>
      </c>
      <c r="C146" s="1" t="s">
        <v>104</v>
      </c>
      <c r="E146" s="1" t="s">
        <v>105</v>
      </c>
      <c r="G146" s="151">
        <f>IF('Gas Natural'!U8&gt;'Gas Natural'!U9,(('Gas Natural'!U7+'Gas Natural'!U8+'Gas Natural'!U9/2)*1.1),(('Gas Natural'!U7+'Gas Natural'!U9+'Gas Natural'!U8/2)*1.1))</f>
        <v>35.200000000000003</v>
      </c>
      <c r="I146" s="63">
        <f>IF(CALEFACCION&lt;0,((19+'Gas Natural'!F15)/(10*('Gas Natural'!F15+1))),((19+'Gas Natural'!F15)/(4*('Gas Natural'!F15+4))))</f>
        <v>0.37931034482758619</v>
      </c>
    </row>
    <row r="147" spans="1:26">
      <c r="A147" s="1" t="s">
        <v>106</v>
      </c>
      <c r="C147" s="1" t="s">
        <v>107</v>
      </c>
      <c r="E147" s="1" t="s">
        <v>108</v>
      </c>
      <c r="G147"/>
    </row>
    <row r="148" spans="1:26">
      <c r="C148" s="1" t="s">
        <v>210</v>
      </c>
      <c r="E148" s="1" t="s">
        <v>210</v>
      </c>
      <c r="G148" s="151">
        <f>IF(G146&gt;30,G146,30)</f>
        <v>35.200000000000003</v>
      </c>
      <c r="I148" s="1">
        <v>0.15</v>
      </c>
      <c r="J148" s="1">
        <v>0.35</v>
      </c>
    </row>
    <row r="152" spans="1:26" ht="13.5">
      <c r="A152" s="86"/>
      <c r="B152" s="86"/>
      <c r="C152" s="86" t="s">
        <v>143</v>
      </c>
      <c r="D152" s="86"/>
      <c r="E152" s="86"/>
      <c r="F152" s="86"/>
    </row>
    <row r="153" spans="1:26" ht="13.5">
      <c r="A153" s="86"/>
      <c r="B153" s="86"/>
      <c r="C153" s="86"/>
      <c r="D153" s="86"/>
      <c r="E153" s="86"/>
      <c r="F153" s="86"/>
    </row>
    <row r="154" spans="1:26" ht="13.5">
      <c r="A154" s="86"/>
      <c r="B154" s="86" t="s">
        <v>144</v>
      </c>
      <c r="C154" s="86"/>
      <c r="D154" s="86" t="s">
        <v>145</v>
      </c>
      <c r="E154" s="86"/>
      <c r="F154" s="86" t="s">
        <v>146</v>
      </c>
      <c r="H154" s="86" t="s">
        <v>147</v>
      </c>
      <c r="J154" s="86" t="s">
        <v>148</v>
      </c>
      <c r="L154" s="86" t="s">
        <v>149</v>
      </c>
      <c r="O154" s="86" t="s">
        <v>144</v>
      </c>
      <c r="P154" s="86"/>
      <c r="Q154" s="86" t="s">
        <v>145</v>
      </c>
      <c r="R154" s="86"/>
      <c r="S154" s="86" t="s">
        <v>146</v>
      </c>
      <c r="U154" s="86" t="s">
        <v>147</v>
      </c>
      <c r="W154" s="86" t="s">
        <v>150</v>
      </c>
      <c r="Y154" s="86" t="s">
        <v>151</v>
      </c>
    </row>
    <row r="155" spans="1:26" ht="13.5">
      <c r="A155" s="86"/>
      <c r="B155" s="87" t="s">
        <v>152</v>
      </c>
      <c r="C155" s="86"/>
      <c r="D155" s="87" t="s">
        <v>152</v>
      </c>
      <c r="E155" s="86"/>
      <c r="F155" s="87" t="s">
        <v>152</v>
      </c>
      <c r="H155" s="87" t="s">
        <v>152</v>
      </c>
      <c r="J155" s="87" t="s">
        <v>152</v>
      </c>
      <c r="L155" s="88" t="s">
        <v>152</v>
      </c>
      <c r="O155" s="87" t="s">
        <v>152</v>
      </c>
      <c r="P155" s="86"/>
      <c r="Q155" s="87" t="s">
        <v>153</v>
      </c>
      <c r="R155" s="86"/>
      <c r="S155" s="87" t="s">
        <v>152</v>
      </c>
      <c r="U155" s="87" t="s">
        <v>152</v>
      </c>
      <c r="W155" s="87" t="s">
        <v>152</v>
      </c>
      <c r="Y155" s="87" t="s">
        <v>152</v>
      </c>
    </row>
    <row r="156" spans="1:26" ht="13.5">
      <c r="A156" s="86">
        <v>1</v>
      </c>
      <c r="B156" s="86">
        <v>1</v>
      </c>
      <c r="C156" s="86">
        <v>1</v>
      </c>
      <c r="D156" s="86">
        <v>1</v>
      </c>
      <c r="E156" s="86">
        <v>1</v>
      </c>
      <c r="F156" s="86">
        <v>1</v>
      </c>
      <c r="G156" s="86">
        <v>1</v>
      </c>
      <c r="H156" s="86">
        <v>1</v>
      </c>
      <c r="I156" s="86">
        <v>1</v>
      </c>
      <c r="J156" s="86">
        <v>1</v>
      </c>
      <c r="K156" s="89">
        <v>1</v>
      </c>
      <c r="L156" s="27">
        <v>1</v>
      </c>
      <c r="M156" s="89">
        <v>1</v>
      </c>
      <c r="N156" s="86">
        <v>1</v>
      </c>
      <c r="O156" s="86">
        <v>1</v>
      </c>
      <c r="P156" s="86">
        <v>1</v>
      </c>
      <c r="Q156" s="86">
        <v>1</v>
      </c>
      <c r="R156" s="86">
        <v>1</v>
      </c>
      <c r="S156" s="86">
        <v>1</v>
      </c>
      <c r="T156" s="86">
        <v>1</v>
      </c>
      <c r="U156" s="86">
        <v>1</v>
      </c>
      <c r="V156" s="86">
        <v>1</v>
      </c>
      <c r="W156" s="86">
        <v>1</v>
      </c>
      <c r="X156" s="86">
        <v>1</v>
      </c>
      <c r="Y156" s="86">
        <v>1</v>
      </c>
      <c r="Z156" s="86">
        <v>1</v>
      </c>
    </row>
    <row r="157" spans="1:26" ht="13.5">
      <c r="A157" s="90">
        <v>1</v>
      </c>
      <c r="B157" s="90">
        <v>4</v>
      </c>
      <c r="C157" s="89">
        <v>1</v>
      </c>
      <c r="D157" s="91">
        <v>6.2</v>
      </c>
      <c r="E157" s="89">
        <v>1</v>
      </c>
      <c r="F157" s="92">
        <v>6</v>
      </c>
      <c r="G157" s="89">
        <v>1</v>
      </c>
      <c r="H157" s="93">
        <v>6.4</v>
      </c>
      <c r="I157" s="89">
        <v>1</v>
      </c>
      <c r="J157" s="93">
        <v>13.6</v>
      </c>
      <c r="K157" s="94">
        <v>2</v>
      </c>
      <c r="L157" s="95">
        <v>12.4</v>
      </c>
      <c r="M157" s="94">
        <v>2</v>
      </c>
      <c r="O157" s="90">
        <v>4</v>
      </c>
      <c r="P157" s="96" t="s">
        <v>154</v>
      </c>
      <c r="Q157" s="91">
        <v>6.2</v>
      </c>
      <c r="R157" s="97" t="s">
        <v>12</v>
      </c>
      <c r="S157" s="90">
        <v>6</v>
      </c>
      <c r="T157" s="98">
        <v>10</v>
      </c>
      <c r="U157" s="93">
        <v>6.4</v>
      </c>
      <c r="V157" s="99">
        <v>10</v>
      </c>
      <c r="W157" s="93">
        <v>13.6</v>
      </c>
      <c r="X157" s="99">
        <v>16</v>
      </c>
      <c r="Y157" s="93">
        <v>12.4</v>
      </c>
      <c r="Z157" s="99">
        <v>16</v>
      </c>
    </row>
    <row r="158" spans="1:26" ht="13.5">
      <c r="A158" s="100">
        <v>2</v>
      </c>
      <c r="B158" s="100">
        <v>6</v>
      </c>
      <c r="C158" s="94">
        <v>2</v>
      </c>
      <c r="D158" s="101">
        <v>8.35</v>
      </c>
      <c r="E158" s="94">
        <v>2</v>
      </c>
      <c r="F158" s="102">
        <v>8</v>
      </c>
      <c r="G158" s="94">
        <v>2</v>
      </c>
      <c r="H158" s="95">
        <v>8.4</v>
      </c>
      <c r="I158" s="94">
        <v>2</v>
      </c>
      <c r="J158" s="95">
        <v>17</v>
      </c>
      <c r="K158" s="94">
        <v>3</v>
      </c>
      <c r="L158" s="95">
        <v>15.4</v>
      </c>
      <c r="M158" s="94">
        <v>3</v>
      </c>
      <c r="O158" s="100">
        <v>6</v>
      </c>
      <c r="P158" s="103" t="s">
        <v>155</v>
      </c>
      <c r="Q158" s="101">
        <v>8.35</v>
      </c>
      <c r="R158" s="104" t="s">
        <v>13</v>
      </c>
      <c r="S158" s="100">
        <v>8</v>
      </c>
      <c r="T158" s="105">
        <v>12</v>
      </c>
      <c r="U158" s="95">
        <v>8.4</v>
      </c>
      <c r="V158" s="106">
        <v>12</v>
      </c>
      <c r="W158" s="95">
        <v>17</v>
      </c>
      <c r="X158" s="106">
        <v>20</v>
      </c>
      <c r="Y158" s="95">
        <v>15.4</v>
      </c>
      <c r="Z158" s="106">
        <v>20</v>
      </c>
    </row>
    <row r="159" spans="1:26" ht="13.5">
      <c r="A159" s="100">
        <v>3</v>
      </c>
      <c r="B159" s="100">
        <v>8</v>
      </c>
      <c r="C159" s="94">
        <v>3</v>
      </c>
      <c r="D159" s="101">
        <v>12.32</v>
      </c>
      <c r="E159" s="94">
        <v>3</v>
      </c>
      <c r="F159" s="102">
        <v>10.6</v>
      </c>
      <c r="G159" s="94">
        <v>3</v>
      </c>
      <c r="H159" s="100">
        <v>12.4</v>
      </c>
      <c r="I159" s="94">
        <v>3</v>
      </c>
      <c r="J159" s="95">
        <v>21.2</v>
      </c>
      <c r="K159" s="94">
        <v>4</v>
      </c>
      <c r="L159" s="95">
        <v>20.399999999999999</v>
      </c>
      <c r="M159" s="94">
        <v>4</v>
      </c>
      <c r="O159" s="100">
        <v>8</v>
      </c>
      <c r="P159" s="103" t="s">
        <v>156</v>
      </c>
      <c r="Q159" s="101">
        <v>12.32</v>
      </c>
      <c r="R159" s="104" t="s">
        <v>14</v>
      </c>
      <c r="S159" s="100">
        <v>10.6</v>
      </c>
      <c r="T159" s="105">
        <v>16</v>
      </c>
      <c r="U159" s="100">
        <v>12.4</v>
      </c>
      <c r="V159" s="104">
        <v>16</v>
      </c>
      <c r="W159" s="95">
        <v>21.2</v>
      </c>
      <c r="X159" s="106">
        <v>25</v>
      </c>
      <c r="Y159" s="95">
        <v>20.399999999999999</v>
      </c>
      <c r="Z159" s="106">
        <v>25</v>
      </c>
    </row>
    <row r="160" spans="1:26" ht="13.5">
      <c r="A160" s="100">
        <v>4</v>
      </c>
      <c r="B160" s="100">
        <v>10</v>
      </c>
      <c r="C160" s="94">
        <v>4</v>
      </c>
      <c r="D160" s="101">
        <v>16</v>
      </c>
      <c r="E160" s="94">
        <v>4</v>
      </c>
      <c r="F160" s="102">
        <v>13.2</v>
      </c>
      <c r="G160" s="94">
        <v>4</v>
      </c>
      <c r="H160" s="100">
        <v>16.2</v>
      </c>
      <c r="I160" s="94">
        <v>4</v>
      </c>
      <c r="J160" s="95">
        <v>27.2</v>
      </c>
      <c r="K160" s="94">
        <v>5</v>
      </c>
      <c r="L160" s="95">
        <v>26.2</v>
      </c>
      <c r="M160" s="94">
        <v>5</v>
      </c>
      <c r="O160" s="100">
        <v>10</v>
      </c>
      <c r="P160" s="103" t="s">
        <v>157</v>
      </c>
      <c r="Q160" s="101">
        <v>16</v>
      </c>
      <c r="R160" s="104" t="s">
        <v>15</v>
      </c>
      <c r="S160" s="100">
        <v>13.2</v>
      </c>
      <c r="T160" s="105">
        <v>20</v>
      </c>
      <c r="U160" s="100">
        <v>16.2</v>
      </c>
      <c r="V160" s="104">
        <v>20</v>
      </c>
      <c r="W160" s="95">
        <v>27.2</v>
      </c>
      <c r="X160" s="104">
        <v>32</v>
      </c>
      <c r="Y160" s="95">
        <v>26.2</v>
      </c>
      <c r="Z160" s="106">
        <v>32</v>
      </c>
    </row>
    <row r="161" spans="1:26" ht="13.5">
      <c r="A161" s="100">
        <v>5</v>
      </c>
      <c r="B161" s="100">
        <v>13</v>
      </c>
      <c r="C161" s="94">
        <v>5</v>
      </c>
      <c r="D161" s="101">
        <v>21.6</v>
      </c>
      <c r="E161" s="94">
        <v>5</v>
      </c>
      <c r="F161" s="102">
        <v>16.600000000000001</v>
      </c>
      <c r="G161" s="94">
        <v>5</v>
      </c>
      <c r="H161" s="100">
        <v>20.399999999999999</v>
      </c>
      <c r="I161" s="94">
        <v>5</v>
      </c>
      <c r="J161" s="95">
        <v>34</v>
      </c>
      <c r="K161" s="94">
        <v>6</v>
      </c>
      <c r="L161" s="95">
        <v>32.6</v>
      </c>
      <c r="M161" s="94">
        <v>6</v>
      </c>
      <c r="O161" s="100">
        <v>13</v>
      </c>
      <c r="P161" s="103" t="s">
        <v>158</v>
      </c>
      <c r="Q161" s="101">
        <v>21.6</v>
      </c>
      <c r="R161" s="104" t="s">
        <v>16</v>
      </c>
      <c r="S161" s="100">
        <v>16.600000000000001</v>
      </c>
      <c r="T161" s="105">
        <v>25</v>
      </c>
      <c r="U161" s="100">
        <v>20.399999999999999</v>
      </c>
      <c r="V161" s="104">
        <v>25</v>
      </c>
      <c r="W161" s="95">
        <v>34</v>
      </c>
      <c r="X161" s="104">
        <v>40</v>
      </c>
      <c r="Y161" s="95">
        <v>32.6</v>
      </c>
      <c r="Z161" s="104">
        <v>40</v>
      </c>
    </row>
    <row r="162" spans="1:26" ht="13.5">
      <c r="A162" s="100">
        <v>6</v>
      </c>
      <c r="B162" s="100">
        <v>16</v>
      </c>
      <c r="C162" s="94">
        <v>6</v>
      </c>
      <c r="D162" s="101">
        <v>27.2</v>
      </c>
      <c r="E162" s="94">
        <v>6</v>
      </c>
      <c r="F162" s="102">
        <v>21.2</v>
      </c>
      <c r="G162" s="94">
        <v>6</v>
      </c>
      <c r="H162" s="100">
        <v>26.2</v>
      </c>
      <c r="I162" s="94">
        <v>6</v>
      </c>
      <c r="J162" s="100">
        <v>42.6</v>
      </c>
      <c r="K162" s="94">
        <v>7</v>
      </c>
      <c r="L162" s="95">
        <v>40.799999999999997</v>
      </c>
      <c r="M162" s="94">
        <v>7</v>
      </c>
      <c r="O162" s="100">
        <v>16</v>
      </c>
      <c r="P162" s="103" t="s">
        <v>159</v>
      </c>
      <c r="Q162" s="101">
        <v>27.2</v>
      </c>
      <c r="R162" s="104" t="s">
        <v>17</v>
      </c>
      <c r="S162" s="100">
        <v>21.2</v>
      </c>
      <c r="T162" s="105">
        <v>32</v>
      </c>
      <c r="U162" s="100">
        <v>26.2</v>
      </c>
      <c r="V162" s="104">
        <v>32</v>
      </c>
      <c r="W162" s="100">
        <v>42.6</v>
      </c>
      <c r="X162" s="104">
        <v>50</v>
      </c>
      <c r="Y162" s="95">
        <v>40.799999999999997</v>
      </c>
      <c r="Z162" s="104">
        <v>50</v>
      </c>
    </row>
    <row r="163" spans="1:26" ht="13.5">
      <c r="A163" s="100">
        <v>7</v>
      </c>
      <c r="B163" s="100">
        <v>20</v>
      </c>
      <c r="C163" s="94">
        <v>7</v>
      </c>
      <c r="D163" s="101">
        <v>35.9</v>
      </c>
      <c r="E163" s="94">
        <v>7</v>
      </c>
      <c r="F163" s="102">
        <v>26.6</v>
      </c>
      <c r="G163" s="94">
        <v>7</v>
      </c>
      <c r="H163" s="100">
        <v>32.6</v>
      </c>
      <c r="I163" s="94">
        <v>7</v>
      </c>
      <c r="J163" s="100">
        <v>53.6</v>
      </c>
      <c r="K163" s="94">
        <v>8</v>
      </c>
      <c r="L163" s="100">
        <v>51.4</v>
      </c>
      <c r="M163" s="94">
        <v>8</v>
      </c>
      <c r="O163" s="100">
        <v>20</v>
      </c>
      <c r="P163" s="103" t="s">
        <v>160</v>
      </c>
      <c r="Q163" s="101">
        <v>35.9</v>
      </c>
      <c r="R163" s="104" t="s">
        <v>18</v>
      </c>
      <c r="S163" s="100">
        <v>26.6</v>
      </c>
      <c r="T163" s="105">
        <v>40</v>
      </c>
      <c r="U163" s="100">
        <v>32.6</v>
      </c>
      <c r="V163" s="104">
        <v>40</v>
      </c>
      <c r="W163" s="100">
        <v>53.6</v>
      </c>
      <c r="X163" s="104">
        <v>63</v>
      </c>
      <c r="Y163" s="100">
        <v>51.4</v>
      </c>
      <c r="Z163" s="104">
        <v>63</v>
      </c>
    </row>
    <row r="164" spans="1:26" ht="13.5">
      <c r="A164" s="100">
        <v>8</v>
      </c>
      <c r="B164" s="100">
        <v>26</v>
      </c>
      <c r="C164" s="94">
        <v>8</v>
      </c>
      <c r="D164" s="101">
        <v>41.8</v>
      </c>
      <c r="E164" s="94">
        <v>8</v>
      </c>
      <c r="F164" s="102">
        <v>33.4</v>
      </c>
      <c r="G164" s="94">
        <v>8</v>
      </c>
      <c r="H164" s="100">
        <v>40.799999999999997</v>
      </c>
      <c r="I164" s="94">
        <v>8</v>
      </c>
      <c r="J164" s="100">
        <v>63.8</v>
      </c>
      <c r="K164" s="94">
        <v>9</v>
      </c>
      <c r="L164" s="100">
        <v>61.4</v>
      </c>
      <c r="M164" s="94">
        <v>9</v>
      </c>
      <c r="O164" s="100">
        <v>26</v>
      </c>
      <c r="P164" s="103" t="s">
        <v>161</v>
      </c>
      <c r="Q164" s="101">
        <v>41.8</v>
      </c>
      <c r="R164" s="104" t="s">
        <v>19</v>
      </c>
      <c r="S164" s="100">
        <v>33.4</v>
      </c>
      <c r="T164" s="105">
        <v>50</v>
      </c>
      <c r="U164" s="100">
        <v>40.799999999999997</v>
      </c>
      <c r="V164" s="104">
        <v>50</v>
      </c>
      <c r="W164" s="100">
        <v>63.8</v>
      </c>
      <c r="X164" s="104">
        <v>75</v>
      </c>
      <c r="Y164" s="100">
        <v>61.4</v>
      </c>
      <c r="Z164" s="104">
        <v>75</v>
      </c>
    </row>
    <row r="165" spans="1:26" ht="13.5">
      <c r="A165" s="100">
        <v>9</v>
      </c>
      <c r="B165" s="100">
        <v>33</v>
      </c>
      <c r="C165" s="94">
        <v>9</v>
      </c>
      <c r="D165" s="101">
        <v>53</v>
      </c>
      <c r="E165" s="94">
        <v>9</v>
      </c>
      <c r="F165" s="102">
        <v>42</v>
      </c>
      <c r="G165" s="94">
        <v>9</v>
      </c>
      <c r="H165" s="100">
        <v>61.4</v>
      </c>
      <c r="I165" s="94">
        <v>9</v>
      </c>
      <c r="J165" s="100">
        <v>76.599999999999994</v>
      </c>
      <c r="K165" s="94">
        <v>10</v>
      </c>
      <c r="L165" s="100">
        <v>73.599999999999994</v>
      </c>
      <c r="M165" s="94">
        <v>10</v>
      </c>
      <c r="O165" s="100">
        <v>33</v>
      </c>
      <c r="P165" s="103" t="s">
        <v>162</v>
      </c>
      <c r="Q165" s="101">
        <v>53</v>
      </c>
      <c r="R165" s="104" t="s">
        <v>20</v>
      </c>
      <c r="S165" s="100">
        <v>42</v>
      </c>
      <c r="T165" s="105">
        <v>63</v>
      </c>
      <c r="U165" s="100">
        <v>61.4</v>
      </c>
      <c r="V165" s="104" t="s">
        <v>163</v>
      </c>
      <c r="W165" s="100">
        <v>76.599999999999994</v>
      </c>
      <c r="X165" s="94">
        <v>90</v>
      </c>
      <c r="Y165" s="100">
        <v>73.599999999999994</v>
      </c>
      <c r="Z165" s="104">
        <v>90</v>
      </c>
    </row>
    <row r="166" spans="1:26" ht="13.5">
      <c r="A166" s="100">
        <v>10</v>
      </c>
      <c r="B166" s="100">
        <v>40</v>
      </c>
      <c r="C166" s="94">
        <v>10</v>
      </c>
      <c r="D166" s="101">
        <v>68.8</v>
      </c>
      <c r="E166" s="94">
        <v>10</v>
      </c>
      <c r="F166" s="102">
        <v>50</v>
      </c>
      <c r="G166" s="94">
        <v>10</v>
      </c>
      <c r="H166" s="100">
        <v>61.4</v>
      </c>
      <c r="I166" s="94">
        <v>10</v>
      </c>
      <c r="J166" s="100">
        <v>93.6</v>
      </c>
      <c r="K166" s="94">
        <v>11</v>
      </c>
      <c r="L166" s="100">
        <v>90</v>
      </c>
      <c r="M166" s="94">
        <v>11</v>
      </c>
      <c r="O166" s="100">
        <v>40</v>
      </c>
      <c r="P166" s="103" t="s">
        <v>164</v>
      </c>
      <c r="Q166" s="101">
        <v>68.8</v>
      </c>
      <c r="R166" s="104" t="s">
        <v>21</v>
      </c>
      <c r="S166" s="100">
        <v>50</v>
      </c>
      <c r="T166" s="105">
        <v>75</v>
      </c>
      <c r="U166" s="100">
        <v>61.4</v>
      </c>
      <c r="V166" s="104" t="s">
        <v>163</v>
      </c>
      <c r="W166" s="100">
        <v>93.6</v>
      </c>
      <c r="X166" s="94">
        <v>110</v>
      </c>
      <c r="Y166" s="100">
        <v>90</v>
      </c>
      <c r="Z166" s="94">
        <v>110</v>
      </c>
    </row>
    <row r="167" spans="1:26" ht="13.5">
      <c r="A167" s="100">
        <v>11</v>
      </c>
      <c r="B167" s="100">
        <v>51</v>
      </c>
      <c r="C167" s="94">
        <v>11</v>
      </c>
      <c r="D167" s="101">
        <v>80.8</v>
      </c>
      <c r="E167" s="94">
        <v>11</v>
      </c>
      <c r="F167" s="102">
        <v>60</v>
      </c>
      <c r="G167" s="94">
        <v>11</v>
      </c>
      <c r="H167" s="100">
        <v>61.4</v>
      </c>
      <c r="I167" s="94">
        <v>11</v>
      </c>
      <c r="J167" s="100">
        <v>106.4</v>
      </c>
      <c r="K167" s="94">
        <v>12</v>
      </c>
      <c r="L167" s="100">
        <v>102.2</v>
      </c>
      <c r="M167" s="94">
        <v>12</v>
      </c>
      <c r="O167" s="100">
        <v>51</v>
      </c>
      <c r="P167" s="103" t="s">
        <v>165</v>
      </c>
      <c r="Q167" s="101">
        <v>80.8</v>
      </c>
      <c r="R167" s="104" t="s">
        <v>22</v>
      </c>
      <c r="S167" s="100">
        <v>60</v>
      </c>
      <c r="T167" s="105">
        <v>90</v>
      </c>
      <c r="U167" s="100">
        <v>61.4</v>
      </c>
      <c r="V167" s="104" t="s">
        <v>163</v>
      </c>
      <c r="W167" s="100">
        <v>106.4</v>
      </c>
      <c r="X167" s="94">
        <v>125</v>
      </c>
      <c r="Y167" s="100">
        <v>102.2</v>
      </c>
      <c r="Z167" s="94">
        <v>125</v>
      </c>
    </row>
    <row r="168" spans="1:26" ht="13.5">
      <c r="A168" s="100">
        <v>12</v>
      </c>
      <c r="B168" s="100">
        <v>61</v>
      </c>
      <c r="C168" s="94">
        <v>12</v>
      </c>
      <c r="D168" s="101">
        <v>93.5</v>
      </c>
      <c r="E168" s="94">
        <v>12</v>
      </c>
      <c r="F168" s="102">
        <v>73.400000000000006</v>
      </c>
      <c r="G168" s="94">
        <v>12</v>
      </c>
      <c r="H168" s="100">
        <v>61.4</v>
      </c>
      <c r="I168" s="94">
        <v>12</v>
      </c>
      <c r="J168" s="100">
        <v>119.2</v>
      </c>
      <c r="K168" s="94">
        <v>13</v>
      </c>
      <c r="L168" s="100">
        <v>114.6</v>
      </c>
      <c r="M168" s="94">
        <v>13</v>
      </c>
      <c r="O168" s="100">
        <v>61</v>
      </c>
      <c r="P168" s="103" t="s">
        <v>166</v>
      </c>
      <c r="Q168" s="101">
        <v>93.5</v>
      </c>
      <c r="R168" s="104" t="s">
        <v>23</v>
      </c>
      <c r="S168" s="100">
        <v>73.400000000000006</v>
      </c>
      <c r="T168" s="105">
        <v>110</v>
      </c>
      <c r="U168" s="100">
        <v>61.4</v>
      </c>
      <c r="V168" s="104" t="s">
        <v>163</v>
      </c>
      <c r="W168" s="100">
        <v>119.2</v>
      </c>
      <c r="X168" s="94">
        <v>140</v>
      </c>
      <c r="Y168" s="100">
        <v>114.6</v>
      </c>
      <c r="Z168" s="94">
        <v>140</v>
      </c>
    </row>
    <row r="169" spans="1:26" ht="13.5">
      <c r="A169" s="100">
        <v>13</v>
      </c>
      <c r="B169" s="100">
        <v>73</v>
      </c>
      <c r="C169" s="94">
        <v>13</v>
      </c>
      <c r="D169" s="101">
        <v>105.3</v>
      </c>
      <c r="E169" s="94">
        <v>13</v>
      </c>
      <c r="F169" s="102">
        <v>83.4</v>
      </c>
      <c r="G169" s="94">
        <v>13</v>
      </c>
      <c r="H169" s="100">
        <v>61.4</v>
      </c>
      <c r="I169" s="94">
        <v>13</v>
      </c>
      <c r="J169" s="100">
        <v>136.19999999999999</v>
      </c>
      <c r="K169" s="94">
        <v>14</v>
      </c>
      <c r="L169" s="100">
        <v>130.80000000000001</v>
      </c>
      <c r="M169" s="94">
        <v>14</v>
      </c>
      <c r="O169" s="100">
        <v>73</v>
      </c>
      <c r="P169" s="103" t="s">
        <v>167</v>
      </c>
      <c r="Q169" s="101">
        <v>105.3</v>
      </c>
      <c r="R169" s="104" t="s">
        <v>24</v>
      </c>
      <c r="S169" s="100">
        <v>83.4</v>
      </c>
      <c r="T169" s="105">
        <v>125</v>
      </c>
      <c r="U169" s="100">
        <v>61.4</v>
      </c>
      <c r="V169" s="104" t="s">
        <v>163</v>
      </c>
      <c r="W169" s="100">
        <v>136.19999999999999</v>
      </c>
      <c r="X169" s="94">
        <v>160</v>
      </c>
      <c r="Y169" s="100">
        <v>130.80000000000001</v>
      </c>
      <c r="Z169" s="94">
        <v>160</v>
      </c>
    </row>
    <row r="170" spans="1:26" ht="13.5">
      <c r="A170" s="100">
        <v>14</v>
      </c>
      <c r="B170" s="100">
        <v>85</v>
      </c>
      <c r="C170" s="94">
        <v>14</v>
      </c>
      <c r="D170" s="101">
        <v>118</v>
      </c>
      <c r="E170" s="94">
        <v>14</v>
      </c>
      <c r="F170" s="102">
        <v>83.4</v>
      </c>
      <c r="G170" s="94">
        <v>14</v>
      </c>
      <c r="H170" s="100">
        <v>61.4</v>
      </c>
      <c r="I170" s="94">
        <v>14</v>
      </c>
      <c r="J170" s="100">
        <v>153.19999999999999</v>
      </c>
      <c r="K170" s="94">
        <v>15</v>
      </c>
      <c r="L170" s="100">
        <v>147.19999999999999</v>
      </c>
      <c r="M170" s="94">
        <v>15</v>
      </c>
      <c r="O170" s="100">
        <v>85</v>
      </c>
      <c r="P170" s="103" t="s">
        <v>168</v>
      </c>
      <c r="Q170" s="101">
        <v>118</v>
      </c>
      <c r="R170" s="104" t="s">
        <v>25</v>
      </c>
      <c r="S170" s="100">
        <v>83.4</v>
      </c>
      <c r="T170" s="105">
        <v>125</v>
      </c>
      <c r="U170" s="100">
        <v>61.4</v>
      </c>
      <c r="V170" s="104" t="s">
        <v>163</v>
      </c>
      <c r="W170" s="100">
        <v>153.19999999999999</v>
      </c>
      <c r="X170" s="94">
        <v>180</v>
      </c>
      <c r="Y170" s="100">
        <v>147.19999999999999</v>
      </c>
      <c r="Z170" s="94">
        <v>180</v>
      </c>
    </row>
    <row r="171" spans="1:26" ht="13.5">
      <c r="A171" s="107">
        <v>15</v>
      </c>
      <c r="B171" s="107">
        <v>104</v>
      </c>
      <c r="C171" s="108">
        <v>15</v>
      </c>
      <c r="D171" s="109">
        <v>130</v>
      </c>
      <c r="E171" s="108">
        <v>15</v>
      </c>
      <c r="F171" s="110">
        <v>83.4</v>
      </c>
      <c r="G171" s="111">
        <v>15</v>
      </c>
      <c r="H171" s="107">
        <v>61.4</v>
      </c>
      <c r="I171" s="111">
        <v>15</v>
      </c>
      <c r="J171" s="107">
        <v>170.4</v>
      </c>
      <c r="K171" s="112">
        <v>16</v>
      </c>
      <c r="L171" s="107">
        <v>163.6</v>
      </c>
      <c r="M171" s="111">
        <v>16</v>
      </c>
      <c r="O171" s="107">
        <v>104</v>
      </c>
      <c r="P171" s="113" t="s">
        <v>169</v>
      </c>
      <c r="Q171" s="109">
        <v>130</v>
      </c>
      <c r="R171" s="114" t="s">
        <v>26</v>
      </c>
      <c r="S171" s="107">
        <v>83.4</v>
      </c>
      <c r="T171" s="108">
        <v>125</v>
      </c>
      <c r="U171" s="107">
        <v>61.4</v>
      </c>
      <c r="V171" s="114" t="s">
        <v>163</v>
      </c>
      <c r="W171" s="107">
        <v>170.4</v>
      </c>
      <c r="X171" s="111">
        <v>200</v>
      </c>
      <c r="Y171" s="107">
        <v>163.6</v>
      </c>
      <c r="Z171" s="111">
        <v>200</v>
      </c>
    </row>
    <row r="172" spans="1:26" ht="13.5">
      <c r="A172" s="86"/>
      <c r="B172" s="86"/>
      <c r="C172" s="86"/>
      <c r="D172" s="86"/>
      <c r="E172" s="86"/>
      <c r="S172" s="102"/>
      <c r="T172" s="115"/>
    </row>
  </sheetData>
  <phoneticPr fontId="1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syncHorizontal="1" syncRef="A1"/>
  <dimension ref="B1:AC41"/>
  <sheetViews>
    <sheetView showGridLines="0" tabSelected="1" zoomScaleNormal="100" workbookViewId="0">
      <selection activeCell="F16" sqref="F16"/>
    </sheetView>
  </sheetViews>
  <sheetFormatPr baseColWidth="10" defaultRowHeight="12.75"/>
  <cols>
    <col min="1" max="1" width="2.85546875" style="1" customWidth="1"/>
    <col min="2" max="2" width="3.42578125" style="1" customWidth="1"/>
    <col min="3" max="3" width="4" style="1" customWidth="1"/>
    <col min="4" max="4" width="6.140625" style="1" customWidth="1"/>
    <col min="5" max="5" width="6.42578125" style="1" customWidth="1"/>
    <col min="6" max="6" width="7.7109375" style="1" customWidth="1"/>
    <col min="7" max="7" width="6" style="1" customWidth="1"/>
    <col min="8" max="8" width="10.85546875" style="1" customWidth="1"/>
    <col min="9" max="9" width="5.42578125" style="1" customWidth="1"/>
    <col min="10" max="10" width="10" style="1" customWidth="1"/>
    <col min="11" max="11" width="10.28515625" style="1" customWidth="1"/>
    <col min="12" max="12" width="7" style="77" customWidth="1"/>
    <col min="13" max="13" width="6.140625" style="1" customWidth="1"/>
    <col min="14" max="14" width="5.140625" style="1" customWidth="1"/>
    <col min="15" max="15" width="5.28515625" style="1" customWidth="1"/>
    <col min="16" max="16" width="6.5703125" style="77" customWidth="1"/>
    <col min="17" max="17" width="6.140625" style="77" customWidth="1"/>
    <col min="18" max="18" width="7.140625" style="1" customWidth="1"/>
    <col min="19" max="19" width="8.28515625" style="78" customWidth="1"/>
    <col min="20" max="20" width="5.5703125" style="78" customWidth="1"/>
    <col min="21" max="21" width="7.140625" style="1" customWidth="1"/>
    <col min="22" max="23" width="6.5703125" style="1" customWidth="1"/>
    <col min="24" max="24" width="6.42578125" style="1" customWidth="1"/>
    <col min="25" max="25" width="6.85546875" style="1" customWidth="1"/>
    <col min="26" max="26" width="7.5703125" style="1" customWidth="1"/>
    <col min="27" max="27" width="9.42578125" style="1" customWidth="1"/>
    <col min="28" max="16384" width="11.42578125" style="1"/>
  </cols>
  <sheetData>
    <row r="1" spans="2:29" ht="17.25" thickBot="1"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/>
      <c r="O1" s="4"/>
      <c r="P1" s="3"/>
      <c r="Q1" s="3"/>
      <c r="R1" s="4"/>
      <c r="S1" s="5"/>
      <c r="T1" s="5"/>
      <c r="U1" s="2"/>
      <c r="V1" s="2"/>
      <c r="W1" s="2"/>
      <c r="X1" s="2"/>
      <c r="Y1" s="2"/>
      <c r="Z1" s="2"/>
      <c r="AA1" s="2"/>
    </row>
    <row r="2" spans="2:29" s="6" customFormat="1" ht="20.100000000000001" customHeight="1" thickTop="1" thickBot="1">
      <c r="B2" s="7"/>
      <c r="C2" s="132" t="s">
        <v>215</v>
      </c>
      <c r="D2" s="9"/>
      <c r="E2" s="8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1"/>
      <c r="T2" s="10"/>
      <c r="U2" s="9"/>
      <c r="V2" s="9"/>
      <c r="W2" s="9"/>
      <c r="X2" s="9"/>
      <c r="Y2" s="9"/>
      <c r="Z2" s="9"/>
      <c r="AA2" s="12"/>
    </row>
    <row r="3" spans="2:29" ht="9.9499999999999993" customHeight="1" thickTop="1">
      <c r="B3" s="13"/>
      <c r="C3" s="14"/>
      <c r="D3" s="14"/>
      <c r="E3" s="15"/>
      <c r="F3" s="14"/>
      <c r="G3" s="14"/>
      <c r="H3" s="14"/>
      <c r="I3" s="14"/>
      <c r="J3" s="14"/>
      <c r="K3" s="14"/>
      <c r="L3" s="16"/>
      <c r="M3" s="17"/>
      <c r="N3" s="17"/>
      <c r="O3" s="17"/>
      <c r="P3" s="16"/>
      <c r="Q3" s="16"/>
      <c r="R3" s="17"/>
      <c r="S3" s="18"/>
      <c r="T3" s="18"/>
      <c r="U3" s="14"/>
      <c r="V3" s="14"/>
      <c r="W3" s="14"/>
      <c r="X3" s="14"/>
      <c r="AA3" s="19"/>
    </row>
    <row r="4" spans="2:29" ht="13.5">
      <c r="B4" s="20"/>
      <c r="C4" s="21" t="s">
        <v>109</v>
      </c>
      <c r="D4" s="14"/>
      <c r="E4" s="14"/>
      <c r="F4" s="116" t="s">
        <v>110</v>
      </c>
      <c r="G4" s="14"/>
      <c r="H4" s="14"/>
      <c r="I4" s="14"/>
      <c r="J4" s="14"/>
      <c r="K4" s="1" t="s">
        <v>208</v>
      </c>
      <c r="M4" s="142" t="s">
        <v>209</v>
      </c>
      <c r="N4" s="24"/>
      <c r="O4" s="24"/>
      <c r="P4" s="23"/>
      <c r="Q4" s="23"/>
      <c r="R4" s="24"/>
      <c r="S4" s="25"/>
      <c r="T4" s="133" t="s">
        <v>223</v>
      </c>
      <c r="U4" s="137">
        <v>50</v>
      </c>
      <c r="V4" s="14" t="s">
        <v>211</v>
      </c>
      <c r="W4" s="150">
        <f>U10</f>
        <v>35.200000000000003</v>
      </c>
      <c r="Y4" s="1">
        <f>QUNITARIO*F15*G15</f>
        <v>27.866666666666671</v>
      </c>
      <c r="AA4" s="19"/>
    </row>
    <row r="5" spans="2:29" ht="13.5">
      <c r="B5" s="20"/>
      <c r="H5" s="14"/>
      <c r="I5" s="14"/>
      <c r="J5" s="17"/>
      <c r="K5" s="1" t="s">
        <v>218</v>
      </c>
      <c r="L5" s="1"/>
      <c r="M5" s="134"/>
      <c r="N5" s="27"/>
      <c r="O5" s="27"/>
      <c r="P5" s="26"/>
      <c r="Q5" s="26"/>
      <c r="R5" s="26"/>
      <c r="S5" s="27"/>
      <c r="T5" s="133" t="s">
        <v>111</v>
      </c>
      <c r="U5" s="138">
        <v>20</v>
      </c>
      <c r="V5" s="17" t="s">
        <v>211</v>
      </c>
      <c r="Y5" s="14"/>
      <c r="Z5" s="14"/>
      <c r="AA5" s="19"/>
    </row>
    <row r="6" spans="2:29" ht="13.5">
      <c r="B6" s="20"/>
      <c r="C6" s="29" t="s">
        <v>112</v>
      </c>
      <c r="D6" s="29"/>
      <c r="E6" s="29"/>
      <c r="F6" s="30">
        <f>IF(F4="GAS CIUDAD",HLOOKUP(1,TABLA4,4),IF(F4="GAS NATURAL",HLOOKUP(2,TABLA4,4),IF(F4="PROPANO",HLOOKUP(3,TABLA4,4),IF(F4="BUTANO",HLOOKUP(4,TABLA4,4)))))</f>
        <v>0.62</v>
      </c>
      <c r="G6" s="30"/>
      <c r="H6" s="14"/>
      <c r="I6" s="14"/>
      <c r="J6" s="17"/>
      <c r="K6" s="17"/>
      <c r="L6" s="26"/>
      <c r="M6" s="27"/>
      <c r="N6" s="27"/>
      <c r="O6" s="27"/>
      <c r="P6" s="26"/>
      <c r="Q6" s="26"/>
      <c r="R6" s="26"/>
      <c r="S6" s="27"/>
      <c r="T6" s="28"/>
      <c r="U6" s="22" t="s">
        <v>113</v>
      </c>
      <c r="V6" s="17"/>
      <c r="W6" s="17"/>
      <c r="X6" s="17"/>
      <c r="Y6" s="22" t="s">
        <v>114</v>
      </c>
      <c r="Z6" s="14"/>
      <c r="AA6" s="19"/>
    </row>
    <row r="7" spans="2:29" ht="15.75">
      <c r="B7" s="20"/>
      <c r="C7" s="29" t="s">
        <v>115</v>
      </c>
      <c r="D7" s="29"/>
      <c r="E7" s="29"/>
      <c r="F7" s="30">
        <f>IF(F4="GAS CIUDAD",HLOOKUP(1,TABLA4,3),IF(F4="GAS NATURAL",HLOOKUP(2,TABLA4,3),IF(F4="PROPANO",HLOOKUP(3,TABLA4,3),IF(F4="BUTANO",HLOOKUP(4,TABLA4,3)))))</f>
        <v>0.80200000000000005</v>
      </c>
      <c r="G7" s="30"/>
      <c r="H7" s="14"/>
      <c r="I7" s="14"/>
      <c r="J7" s="17"/>
      <c r="K7" s="22" t="s">
        <v>116</v>
      </c>
      <c r="L7" s="31"/>
      <c r="M7" s="27"/>
      <c r="N7" s="27"/>
      <c r="O7" s="27"/>
      <c r="P7" s="31"/>
      <c r="Q7" s="31"/>
      <c r="R7" s="27"/>
      <c r="S7" s="27"/>
      <c r="T7" s="28"/>
      <c r="U7" s="136">
        <v>25</v>
      </c>
      <c r="V7" s="32" t="s">
        <v>224</v>
      </c>
      <c r="W7" s="32"/>
      <c r="X7" s="32"/>
      <c r="Y7" s="33">
        <f>U7/12</f>
        <v>2.0833333333333335</v>
      </c>
      <c r="Z7" s="30" t="s">
        <v>220</v>
      </c>
      <c r="AA7" s="19"/>
      <c r="AC7" s="17"/>
    </row>
    <row r="8" spans="2:29" ht="15.75">
      <c r="B8" s="34"/>
      <c r="C8" s="29" t="s">
        <v>93</v>
      </c>
      <c r="D8" s="29"/>
      <c r="E8" s="29"/>
      <c r="F8" s="30">
        <f>IF(F4="GAS CIUDAD",HLOOKUP(1,TABLA4,6),IF(F4="GAS NATURAL",HLOOKUP(2,TABLA4,6),IF(F4="PROPANO",HLOOKUP(3,TABLA4,6),IF(F4="BUTANO",HLOOKUP(4,TABLA4,6)))))</f>
        <v>10300</v>
      </c>
      <c r="G8" s="30" t="s">
        <v>219</v>
      </c>
      <c r="H8" s="14"/>
      <c r="I8" s="14"/>
      <c r="J8" s="17"/>
      <c r="K8" s="35" t="s">
        <v>213</v>
      </c>
      <c r="L8" s="36"/>
      <c r="M8" s="37"/>
      <c r="N8" s="37"/>
      <c r="O8" s="37"/>
      <c r="P8" s="36"/>
      <c r="Q8" s="36"/>
      <c r="R8" s="37"/>
      <c r="S8" s="37"/>
      <c r="T8" s="38"/>
      <c r="U8" s="136">
        <v>7</v>
      </c>
      <c r="V8" s="32" t="s">
        <v>224</v>
      </c>
      <c r="W8" s="32"/>
      <c r="X8" s="32"/>
      <c r="Y8" s="33">
        <f>U8/12</f>
        <v>0.58333333333333337</v>
      </c>
      <c r="Z8" s="30" t="s">
        <v>220</v>
      </c>
      <c r="AA8" s="19"/>
    </row>
    <row r="9" spans="2:29" ht="15.75">
      <c r="B9" s="34"/>
      <c r="C9" s="29" t="s">
        <v>118</v>
      </c>
      <c r="D9" s="29"/>
      <c r="E9" s="29"/>
      <c r="F9" s="30">
        <f>IF(F4="GAS CIUDAD",HLOOKUP(1,TABLA4,7),IF(F4="GAS NATURAL",HLOOKUP(2,TABLA4,7),IF(F4="PROPANO",HLOOKUP(3,TABLA4,7),IF(F4="BUTANO",HLOOKUP(4,TABLA4,7)))))</f>
        <v>10000</v>
      </c>
      <c r="G9" s="30" t="s">
        <v>219</v>
      </c>
      <c r="H9" s="14"/>
      <c r="I9" s="14"/>
      <c r="J9" s="17"/>
      <c r="K9" s="35" t="s">
        <v>214</v>
      </c>
      <c r="L9" s="36"/>
      <c r="M9" s="36"/>
      <c r="N9" s="36"/>
      <c r="O9" s="36"/>
      <c r="P9" s="36"/>
      <c r="Q9" s="36"/>
      <c r="R9" s="36"/>
      <c r="S9" s="38"/>
      <c r="T9" s="38"/>
      <c r="U9" s="136"/>
      <c r="V9" s="32" t="s">
        <v>224</v>
      </c>
      <c r="W9" s="32"/>
      <c r="X9" s="32"/>
      <c r="Y9" s="33">
        <f>U9/12</f>
        <v>0</v>
      </c>
      <c r="Z9" s="30" t="s">
        <v>220</v>
      </c>
      <c r="AA9" s="19"/>
    </row>
    <row r="10" spans="2:29" ht="15.75">
      <c r="B10" s="34"/>
      <c r="C10" s="29" t="s">
        <v>119</v>
      </c>
      <c r="D10" s="29"/>
      <c r="E10" s="29"/>
      <c r="F10" s="30">
        <f>IF(F4="GAS CIUDAD",HLOOKUP(1,TABLA4,9),IF(F4="GAS NATURAL",HLOOKUP(2,TABLA4,9),IF(F4="PROPANO",HLOOKUP(3,TABLA4,9),IF(F4="BUTANO",HLOOKUP(4,TABLA4,9)))))</f>
        <v>12802</v>
      </c>
      <c r="G10" s="30"/>
      <c r="H10" s="14"/>
      <c r="I10" s="14"/>
      <c r="J10" s="17"/>
      <c r="K10" s="35" t="s">
        <v>120</v>
      </c>
      <c r="L10" s="36"/>
      <c r="M10" s="36"/>
      <c r="N10" s="36"/>
      <c r="O10" s="36"/>
      <c r="P10" s="36"/>
      <c r="Q10" s="36"/>
      <c r="R10" s="36"/>
      <c r="S10" s="38"/>
      <c r="T10" s="38"/>
      <c r="U10" s="149">
        <f>IF(U9&gt;0,Tablas!G146,Tablas!G148)</f>
        <v>35.200000000000003</v>
      </c>
      <c r="V10" s="32" t="s">
        <v>224</v>
      </c>
      <c r="W10" s="32"/>
      <c r="X10" s="32"/>
      <c r="Y10" s="33">
        <f>U10/12</f>
        <v>2.9333333333333336</v>
      </c>
      <c r="Z10" s="30" t="s">
        <v>220</v>
      </c>
      <c r="AA10" s="19"/>
    </row>
    <row r="11" spans="2:29" ht="14.25" thickBo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31"/>
      <c r="M11" s="31"/>
      <c r="N11" s="31"/>
      <c r="O11" s="31"/>
      <c r="P11" s="31"/>
      <c r="Q11" s="31"/>
      <c r="R11" s="31"/>
      <c r="S11" s="28"/>
      <c r="T11" s="128"/>
      <c r="U11" s="129"/>
      <c r="V11" s="129"/>
      <c r="W11" s="129"/>
      <c r="X11" s="129"/>
      <c r="Y11" s="129"/>
      <c r="Z11" s="40"/>
      <c r="AA11" s="41"/>
    </row>
    <row r="12" spans="2:29" s="6" customFormat="1" ht="15" thickTop="1" thickBot="1">
      <c r="B12" s="42" t="s">
        <v>121</v>
      </c>
      <c r="C12" s="43"/>
      <c r="D12" s="43" t="s">
        <v>122</v>
      </c>
      <c r="E12" s="43" t="s">
        <v>123</v>
      </c>
      <c r="F12" s="43" t="s">
        <v>124</v>
      </c>
      <c r="G12" s="43" t="s">
        <v>125</v>
      </c>
      <c r="H12" s="43" t="s">
        <v>126</v>
      </c>
      <c r="I12" s="43" t="s">
        <v>127</v>
      </c>
      <c r="J12" s="43" t="s">
        <v>128</v>
      </c>
      <c r="K12" s="43" t="s">
        <v>129</v>
      </c>
      <c r="L12" s="44" t="s">
        <v>135</v>
      </c>
      <c r="M12" s="45" t="s">
        <v>135</v>
      </c>
      <c r="N12" s="45" t="s">
        <v>135</v>
      </c>
      <c r="O12" s="45" t="s">
        <v>135</v>
      </c>
      <c r="P12" s="44" t="s">
        <v>135</v>
      </c>
      <c r="Q12" s="44" t="s">
        <v>135</v>
      </c>
      <c r="R12" s="45" t="s">
        <v>170</v>
      </c>
      <c r="S12" s="46" t="s">
        <v>171</v>
      </c>
      <c r="T12" s="46" t="s">
        <v>178</v>
      </c>
      <c r="U12" s="43" t="s">
        <v>212</v>
      </c>
      <c r="V12" s="43" t="s">
        <v>130</v>
      </c>
      <c r="W12" s="130" t="s">
        <v>206</v>
      </c>
      <c r="X12" s="43" t="s">
        <v>131</v>
      </c>
      <c r="Y12" s="43" t="s">
        <v>132</v>
      </c>
      <c r="Z12" s="43" t="s">
        <v>133</v>
      </c>
      <c r="AA12" s="43" t="s">
        <v>134</v>
      </c>
    </row>
    <row r="13" spans="2:29" s="6" customFormat="1" ht="16.5" thickTop="1" thickBot="1">
      <c r="B13" s="47"/>
      <c r="C13" s="48"/>
      <c r="D13" s="48" t="s">
        <v>136</v>
      </c>
      <c r="E13" s="48" t="s">
        <v>136</v>
      </c>
      <c r="F13" s="48" t="s">
        <v>137</v>
      </c>
      <c r="G13" s="48" t="s">
        <v>190</v>
      </c>
      <c r="H13" s="48" t="s">
        <v>221</v>
      </c>
      <c r="I13" s="48" t="s">
        <v>136</v>
      </c>
      <c r="J13" s="48" t="s">
        <v>211</v>
      </c>
      <c r="K13" s="48" t="s">
        <v>138</v>
      </c>
      <c r="L13" s="44" t="s">
        <v>172</v>
      </c>
      <c r="M13" s="45" t="s">
        <v>173</v>
      </c>
      <c r="N13" s="45" t="s">
        <v>174</v>
      </c>
      <c r="O13" s="45" t="s">
        <v>175</v>
      </c>
      <c r="P13" s="44" t="s">
        <v>148</v>
      </c>
      <c r="Q13" s="44" t="s">
        <v>176</v>
      </c>
      <c r="R13" s="45" t="s">
        <v>177</v>
      </c>
      <c r="S13" s="46" t="s">
        <v>177</v>
      </c>
      <c r="T13" s="46"/>
      <c r="U13" s="48" t="s">
        <v>211</v>
      </c>
      <c r="V13" s="48" t="s">
        <v>211</v>
      </c>
      <c r="W13" s="48" t="s">
        <v>207</v>
      </c>
      <c r="X13" s="48" t="s">
        <v>211</v>
      </c>
      <c r="Y13" s="48" t="s">
        <v>211</v>
      </c>
      <c r="Z13" s="48" t="s">
        <v>211</v>
      </c>
      <c r="AA13" s="48" t="s">
        <v>139</v>
      </c>
    </row>
    <row r="14" spans="2:29" ht="14.25" thickTop="1">
      <c r="B14" s="49"/>
      <c r="C14" s="50"/>
      <c r="D14" s="51"/>
      <c r="E14" s="52"/>
      <c r="F14" s="51"/>
      <c r="G14" s="52"/>
      <c r="H14" s="52"/>
      <c r="I14" s="53"/>
      <c r="J14" s="52"/>
      <c r="K14" s="54"/>
      <c r="L14" s="55"/>
      <c r="M14" s="56"/>
      <c r="N14" s="56"/>
      <c r="O14" s="56"/>
      <c r="P14" s="55"/>
      <c r="Q14" s="55"/>
      <c r="R14" s="56"/>
      <c r="S14" s="57"/>
      <c r="T14" s="57"/>
      <c r="U14" s="52"/>
      <c r="V14" s="52"/>
      <c r="W14" s="52"/>
      <c r="X14" s="52"/>
      <c r="Y14" s="52"/>
      <c r="Z14" s="58"/>
      <c r="AA14" s="59"/>
      <c r="AC14" s="1" t="s">
        <v>198</v>
      </c>
    </row>
    <row r="15" spans="2:29" ht="13.5">
      <c r="B15" s="60" t="s">
        <v>140</v>
      </c>
      <c r="C15" s="61" t="s">
        <v>141</v>
      </c>
      <c r="D15" s="139">
        <v>22</v>
      </c>
      <c r="E15" s="63">
        <f>D15*1.2</f>
        <v>26.4</v>
      </c>
      <c r="F15" s="140">
        <v>25</v>
      </c>
      <c r="G15" s="152">
        <f>Tablas!I139</f>
        <v>0.38</v>
      </c>
      <c r="H15" s="63">
        <f>F15*G15*QUNITARIO</f>
        <v>27.866666666666667</v>
      </c>
      <c r="I15" s="140">
        <v>0</v>
      </c>
      <c r="J15" s="141">
        <f>(PINICIAL*25/100)</f>
        <v>12.5</v>
      </c>
      <c r="K15" s="63">
        <f>((23200*DENSIDAD*(D15*1.2)*(H15)^1.82)/ABS(J15))^(1/4.82)</f>
        <v>29.898474569651064</v>
      </c>
      <c r="L15" s="66">
        <f>IF($K15=VLOOKUP($K15,COBRE,1),$K15,VLOOKUP(VLOOKUP($K15,COBRE,2)+1,COBRE_1,2))</f>
        <v>33</v>
      </c>
      <c r="M15" s="67">
        <f>IF($K15=VLOOKUP($K15,ACERO,1),$K15,VLOOKUP(VLOOKUP($K15,ACERO,2)+1,ACERO_1,2))</f>
        <v>35.9</v>
      </c>
      <c r="N15" s="67">
        <f>IF($K15=VLOOKUP($K15,POLIBUTILENO,1),$K15,VLOOKUP(VLOOKUP($K15,POLIBUTILENO,2)+1,POLIBUTILENO_1,2))</f>
        <v>32.6</v>
      </c>
      <c r="O15" s="67">
        <f>IF($K15=VLOOKUP($K15,POLIPROPILENO,1),$K15,VLOOKUP(VLOOKUP($K15,POLIPROPILENO,2)+1,POLIPROPILENO_1,2))</f>
        <v>33.4</v>
      </c>
      <c r="P15" s="66">
        <f>IF($K15=VLOOKUP($K15,PVC,1),$K15,VLOOKUP(VLOOKUP($K15,PVC,2)+1,PVC_1,2))</f>
        <v>42.6</v>
      </c>
      <c r="Q15" s="66">
        <f>IF($K15=VLOOKUP($K15,POLIETILENO,1),$K15,VLOOKUP(VLOOKUP($K15,POLIETILENO,2)+1,POLIETILENO_1,2))</f>
        <v>32.6</v>
      </c>
      <c r="R15" s="68" t="str">
        <f>IF(T15="FE", VLOOKUP(M15,ACERO_2,2), IF(T15="CU",VLOOKUP(L15,COBRE_2,2), IF(T15="PB", VLOOKUP(N15,POLIBUTILENO_2,2),IF(T15="PP",VLOOKUP(O15,POLIPROPILENO_2,2),IF(T15="PVC",VLOOKUP(P15,PVC_2,2),VLOOKUP(Q15,POLIETILENO_2,2))))))</f>
        <v>(33-35)</v>
      </c>
      <c r="S15" s="69">
        <f>IF(T15="FE",M15,IF(T15="CU",L15,IF(T15="PB",N15,IF(T15="PP",O15,IF(T15="PVC",P15,Q15)))))</f>
        <v>33</v>
      </c>
      <c r="T15" s="147" t="s">
        <v>172</v>
      </c>
      <c r="U15" s="63">
        <f>(23200*DENSIDAD*(D15*1.2)*(H15)^1.82/(S15)^4.82)</f>
        <v>7.7678557557567309</v>
      </c>
      <c r="V15" s="63">
        <f t="shared" ref="V15" si="0">((1-DENSIDAD)*1.294*I15)/10</f>
        <v>0</v>
      </c>
      <c r="W15" s="63">
        <f t="shared" ref="W15" si="1">IF($M$4&gt;0,1,-1)</f>
        <v>1</v>
      </c>
      <c r="X15" s="63">
        <f>U15-(V15*W15)</f>
        <v>7.7678557557567309</v>
      </c>
      <c r="Y15" s="63">
        <f>X15</f>
        <v>7.7678557557567309</v>
      </c>
      <c r="Z15" s="131">
        <f>PRESION-Y15</f>
        <v>42.232144244243273</v>
      </c>
      <c r="AA15" s="70">
        <f>IF(352*H15*(273+15)/(((((((PRESION+Z15)/2)*0.0001)+1.037))*273) *(S15^2))&lt;=20,352*H15*(273+15)/(((((((PRESION+Z15)/2)*0.0001)+1.037))*273) *(S15^2)),"Mal")</f>
        <v>9.1227093059687387</v>
      </c>
      <c r="AC15" s="1" t="s">
        <v>191</v>
      </c>
    </row>
    <row r="16" spans="2:29" ht="13.5">
      <c r="B16" s="60"/>
      <c r="C16" s="61"/>
      <c r="D16" s="62"/>
      <c r="E16" s="63"/>
      <c r="F16" s="64"/>
      <c r="G16" s="63"/>
      <c r="H16" s="63"/>
      <c r="I16" s="64"/>
      <c r="J16" s="65"/>
      <c r="K16" s="63"/>
      <c r="L16" s="66"/>
      <c r="M16" s="67"/>
      <c r="N16" s="67"/>
      <c r="O16" s="67"/>
      <c r="P16" s="66"/>
      <c r="Q16" s="66"/>
      <c r="R16" s="68"/>
      <c r="S16" s="69"/>
      <c r="T16" s="69"/>
      <c r="U16" s="63"/>
      <c r="V16" s="63"/>
      <c r="W16" s="63"/>
      <c r="X16" s="63"/>
      <c r="Y16" s="63"/>
      <c r="Z16" s="131"/>
      <c r="AA16" s="70"/>
    </row>
    <row r="17" spans="2:29" ht="13.5">
      <c r="B17" s="60" t="s">
        <v>142</v>
      </c>
      <c r="C17" s="61" t="s">
        <v>179</v>
      </c>
      <c r="D17" s="143">
        <v>30</v>
      </c>
      <c r="E17" s="63">
        <f t="shared" ref="E17:E36" si="2">D17*1.2</f>
        <v>36</v>
      </c>
      <c r="F17" s="64">
        <v>1</v>
      </c>
      <c r="G17" s="63">
        <v>1</v>
      </c>
      <c r="H17" s="63">
        <f t="shared" ref="H15:H36" si="3">QUNITARIO*G17*F17</f>
        <v>2.9333333333333336</v>
      </c>
      <c r="I17" s="140">
        <v>0</v>
      </c>
      <c r="J17" s="141">
        <v>2.6</v>
      </c>
      <c r="K17" s="63">
        <f>(((23200*DENSIDAD*(D17*1.2)*(H17)^1.82)/(J17+(V17*W17)))^(1/4.82))</f>
        <v>18.87528365701829</v>
      </c>
      <c r="L17" s="66">
        <f t="shared" ref="L17:L36" si="4">IF($K17=VLOOKUP($K17,COBRE,1),$K17,VLOOKUP(VLOOKUP($K17,COBRE,2)+1,COBRE_1,2))</f>
        <v>20</v>
      </c>
      <c r="M17" s="67">
        <f t="shared" ref="M17:M36" si="5">IF($K17=VLOOKUP($K17,ACERO,1),$K17,VLOOKUP(VLOOKUP($K17,ACERO,2)+1,ACERO_1,2))</f>
        <v>21.6</v>
      </c>
      <c r="N17" s="67">
        <f t="shared" ref="N17:N36" si="6">IF($K17=VLOOKUP($K17,POLIBUTILENO,1),$K17,VLOOKUP(VLOOKUP($K17,POLIBUTILENO,2)+1,POLIBUTILENO_1,2))</f>
        <v>20.399999999999999</v>
      </c>
      <c r="O17" s="67">
        <f t="shared" ref="O17:O36" si="7">IF($K17=VLOOKUP($K17,POLIPROPILENO,1),$K17,VLOOKUP(VLOOKUP($K17,POLIPROPILENO,2)+1,POLIPROPILENO_1,2))</f>
        <v>21.2</v>
      </c>
      <c r="P17" s="66">
        <f t="shared" ref="P17:P36" si="8">IF($K17=VLOOKUP($K17,PVC,1),$K17,VLOOKUP(VLOOKUP($K17,PVC,2)+1,PVC_1,2))</f>
        <v>27.2</v>
      </c>
      <c r="Q17" s="66">
        <f t="shared" ref="Q17:Q36" si="9">IF($K17=VLOOKUP($K17,POLIETILENO,1),$K17,VLOOKUP(VLOOKUP($K17,POLIETILENO,2)+1,POLIETILENO_1,2))</f>
        <v>20.399999999999999</v>
      </c>
      <c r="R17" s="71" t="str">
        <f t="shared" ref="R17:R36" si="10">IF(T17="FE", VLOOKUP(M17,ACERO_2,2), IF(T17="CU",VLOOKUP(L17,COBRE_2,2), IF(T17="PB", VLOOKUP(N17,POLIBUTILENO_2,2),IF(T17="PP",VLOOKUP(O17,POLIPROPILENO_2,2),IF(T17="PVC",VLOOKUP(P17,PVC_2,2),VLOOKUP(Q17,POLIETILENO_2,2))))))</f>
        <v>(20-22)</v>
      </c>
      <c r="S17" s="69">
        <f t="shared" ref="S17:S36" si="11">IF(T17="FE",M17,IF(T17="CU",L17,IF(T17="PB",N17,IF(T17="PP",O17,IF(T17="PVC",P17,Q17)))))</f>
        <v>20</v>
      </c>
      <c r="T17" s="147" t="s">
        <v>172</v>
      </c>
      <c r="U17" s="63">
        <f t="shared" ref="U17:U36" si="12">(23200*DENSIDAD*(D17*1.2)*(H17)^1.82/(S17)^4.82)</f>
        <v>1.9670498935003708</v>
      </c>
      <c r="V17" s="63">
        <f t="shared" ref="V17:V36" si="13">((1-DENSIDAD)*1.294*I17)/10</f>
        <v>0</v>
      </c>
      <c r="W17" s="63">
        <f t="shared" ref="W17:W36" si="14">IF($M$4&gt;0,1,-1)</f>
        <v>1</v>
      </c>
      <c r="X17" s="63">
        <f t="shared" ref="X17:X36" si="15">U17-(V17*W17)</f>
        <v>1.9670498935003708</v>
      </c>
      <c r="Y17" s="63">
        <f>_PAC9</f>
        <v>1.9670498935003708</v>
      </c>
      <c r="Z17" s="135">
        <f t="shared" ref="Z17:Z36" si="16">PCONTADOR-Y17</f>
        <v>18.03295010649963</v>
      </c>
      <c r="AA17" s="70">
        <f t="shared" ref="AA17:AA36" si="17">IF(352*H17*(273+15)/(((((((PRESION+Z17)/2)*0.0001)+1.037))*273) *(S17^2))&lt;=20,352*H17*(273+15)/(((((((PRESION+Z17)/2)*0.0001)+1.037))*273) *(S17^2)),"Mal")</f>
        <v>2.6174168809655769</v>
      </c>
      <c r="AC17" s="1" t="s">
        <v>196</v>
      </c>
    </row>
    <row r="18" spans="2:29" ht="13.5">
      <c r="B18" s="60" t="s">
        <v>142</v>
      </c>
      <c r="C18" s="61" t="s">
        <v>222</v>
      </c>
      <c r="D18" s="143">
        <v>30</v>
      </c>
      <c r="E18" s="63">
        <f t="shared" si="2"/>
        <v>36</v>
      </c>
      <c r="F18" s="64">
        <v>1</v>
      </c>
      <c r="G18" s="63">
        <v>1</v>
      </c>
      <c r="H18" s="63">
        <f t="shared" si="3"/>
        <v>2.9333333333333336</v>
      </c>
      <c r="I18" s="140">
        <v>10</v>
      </c>
      <c r="J18" s="141">
        <f t="shared" ref="J18:J36" si="18">PCONTADOR-17</f>
        <v>3</v>
      </c>
      <c r="K18" s="63">
        <f t="shared" ref="K18:K36" si="19">((23200*DENSIDAD*(D18*1.2)*(H18)^1.82)/ABS(J18))^(1/4.82)</f>
        <v>18.323132845911655</v>
      </c>
      <c r="L18" s="66">
        <f t="shared" si="4"/>
        <v>20</v>
      </c>
      <c r="M18" s="67">
        <f t="shared" si="5"/>
        <v>21.6</v>
      </c>
      <c r="N18" s="67">
        <f t="shared" si="6"/>
        <v>20.399999999999999</v>
      </c>
      <c r="O18" s="67">
        <f t="shared" si="7"/>
        <v>21.2</v>
      </c>
      <c r="P18" s="66">
        <f t="shared" si="8"/>
        <v>27.2</v>
      </c>
      <c r="Q18" s="66">
        <f t="shared" si="9"/>
        <v>20.399999999999999</v>
      </c>
      <c r="R18" s="71" t="str">
        <f t="shared" si="10"/>
        <v>(20-22)</v>
      </c>
      <c r="S18" s="69">
        <f t="shared" si="11"/>
        <v>20</v>
      </c>
      <c r="T18" s="147" t="s">
        <v>172</v>
      </c>
      <c r="U18" s="63">
        <f t="shared" si="12"/>
        <v>1.9670498935003708</v>
      </c>
      <c r="V18" s="63">
        <f t="shared" si="13"/>
        <v>0.49172000000000005</v>
      </c>
      <c r="W18" s="63">
        <f t="shared" si="14"/>
        <v>1</v>
      </c>
      <c r="X18" s="63">
        <f t="shared" si="15"/>
        <v>1.4753298935003709</v>
      </c>
      <c r="Y18" s="63">
        <f t="shared" ref="Y18:Y35" si="20">X18</f>
        <v>1.4753298935003709</v>
      </c>
      <c r="Z18" s="135">
        <f t="shared" si="16"/>
        <v>18.524670106499627</v>
      </c>
      <c r="AA18" s="70">
        <f t="shared" si="17"/>
        <v>2.6173550295729808</v>
      </c>
      <c r="AC18" s="1" t="s">
        <v>194</v>
      </c>
    </row>
    <row r="19" spans="2:29" ht="13.5">
      <c r="B19" s="60" t="s">
        <v>142</v>
      </c>
      <c r="C19" s="61" t="s">
        <v>180</v>
      </c>
      <c r="D19" s="143">
        <v>30</v>
      </c>
      <c r="E19" s="63">
        <f t="shared" si="2"/>
        <v>36</v>
      </c>
      <c r="F19" s="64">
        <v>1</v>
      </c>
      <c r="G19" s="63">
        <v>1</v>
      </c>
      <c r="H19" s="63">
        <f t="shared" si="3"/>
        <v>2.9333333333333336</v>
      </c>
      <c r="I19" s="140">
        <v>10</v>
      </c>
      <c r="J19" s="141">
        <f t="shared" si="18"/>
        <v>3</v>
      </c>
      <c r="K19" s="63">
        <f t="shared" si="19"/>
        <v>18.323132845911655</v>
      </c>
      <c r="L19" s="66">
        <f t="shared" si="4"/>
        <v>20</v>
      </c>
      <c r="M19" s="67">
        <f t="shared" si="5"/>
        <v>21.6</v>
      </c>
      <c r="N19" s="67">
        <f t="shared" si="6"/>
        <v>20.399999999999999</v>
      </c>
      <c r="O19" s="67">
        <f t="shared" si="7"/>
        <v>21.2</v>
      </c>
      <c r="P19" s="66">
        <f t="shared" si="8"/>
        <v>27.2</v>
      </c>
      <c r="Q19" s="66">
        <f t="shared" si="9"/>
        <v>20.399999999999999</v>
      </c>
      <c r="R19" s="71" t="str">
        <f t="shared" si="10"/>
        <v>(20-22)</v>
      </c>
      <c r="S19" s="69">
        <f t="shared" si="11"/>
        <v>20</v>
      </c>
      <c r="T19" s="147" t="s">
        <v>172</v>
      </c>
      <c r="U19" s="63">
        <f t="shared" si="12"/>
        <v>1.9670498935003708</v>
      </c>
      <c r="V19" s="63">
        <f t="shared" si="13"/>
        <v>0.49172000000000005</v>
      </c>
      <c r="W19" s="63">
        <f t="shared" si="14"/>
        <v>1</v>
      </c>
      <c r="X19" s="63">
        <f t="shared" si="15"/>
        <v>1.4753298935003709</v>
      </c>
      <c r="Y19" s="63">
        <f t="shared" si="20"/>
        <v>1.4753298935003709</v>
      </c>
      <c r="Z19" s="135">
        <f t="shared" si="16"/>
        <v>18.524670106499627</v>
      </c>
      <c r="AA19" s="70">
        <f t="shared" si="17"/>
        <v>2.6173550295729808</v>
      </c>
      <c r="AC19" s="1" t="s">
        <v>195</v>
      </c>
    </row>
    <row r="20" spans="2:29" ht="13.5">
      <c r="B20" s="60" t="s">
        <v>142</v>
      </c>
      <c r="C20" s="61" t="s">
        <v>181</v>
      </c>
      <c r="D20" s="143">
        <v>35</v>
      </c>
      <c r="E20" s="63">
        <f t="shared" si="2"/>
        <v>42</v>
      </c>
      <c r="F20" s="64">
        <v>1</v>
      </c>
      <c r="G20" s="63">
        <v>1</v>
      </c>
      <c r="H20" s="63">
        <f t="shared" si="3"/>
        <v>2.9333333333333336</v>
      </c>
      <c r="I20" s="140">
        <v>13</v>
      </c>
      <c r="J20" s="141">
        <f t="shared" si="18"/>
        <v>3</v>
      </c>
      <c r="K20" s="63">
        <f t="shared" si="19"/>
        <v>18.918604828565993</v>
      </c>
      <c r="L20" s="66">
        <f t="shared" si="4"/>
        <v>20</v>
      </c>
      <c r="M20" s="67">
        <f t="shared" si="5"/>
        <v>21.6</v>
      </c>
      <c r="N20" s="67">
        <f t="shared" si="6"/>
        <v>20.399999999999999</v>
      </c>
      <c r="O20" s="67">
        <f t="shared" si="7"/>
        <v>21.2</v>
      </c>
      <c r="P20" s="66">
        <f t="shared" si="8"/>
        <v>27.2</v>
      </c>
      <c r="Q20" s="66">
        <f t="shared" si="9"/>
        <v>20.399999999999999</v>
      </c>
      <c r="R20" s="71" t="str">
        <f t="shared" si="10"/>
        <v>(20-22)</v>
      </c>
      <c r="S20" s="69">
        <f t="shared" si="11"/>
        <v>20</v>
      </c>
      <c r="T20" s="147" t="s">
        <v>172</v>
      </c>
      <c r="U20" s="63">
        <f t="shared" si="12"/>
        <v>2.2948915424170995</v>
      </c>
      <c r="V20" s="63">
        <f t="shared" si="13"/>
        <v>0.63923600000000014</v>
      </c>
      <c r="W20" s="63">
        <f t="shared" si="14"/>
        <v>1</v>
      </c>
      <c r="X20" s="63">
        <f t="shared" si="15"/>
        <v>1.6556555424170993</v>
      </c>
      <c r="Y20" s="63">
        <f t="shared" si="20"/>
        <v>1.6556555424170993</v>
      </c>
      <c r="Z20" s="135">
        <f t="shared" si="16"/>
        <v>18.344344457582899</v>
      </c>
      <c r="AA20" s="70">
        <f t="shared" si="17"/>
        <v>2.6173777116391914</v>
      </c>
    </row>
    <row r="21" spans="2:29" ht="13.5">
      <c r="B21" s="60" t="s">
        <v>142</v>
      </c>
      <c r="C21" s="61" t="s">
        <v>182</v>
      </c>
      <c r="D21" s="143">
        <v>35</v>
      </c>
      <c r="E21" s="63">
        <f t="shared" si="2"/>
        <v>42</v>
      </c>
      <c r="F21" s="64">
        <v>1</v>
      </c>
      <c r="G21" s="63">
        <v>1</v>
      </c>
      <c r="H21" s="63">
        <f t="shared" si="3"/>
        <v>2.9333333333333336</v>
      </c>
      <c r="I21" s="140">
        <v>13</v>
      </c>
      <c r="J21" s="141">
        <f t="shared" si="18"/>
        <v>3</v>
      </c>
      <c r="K21" s="63">
        <f t="shared" si="19"/>
        <v>18.918604828565993</v>
      </c>
      <c r="L21" s="66">
        <f t="shared" si="4"/>
        <v>20</v>
      </c>
      <c r="M21" s="67">
        <f t="shared" si="5"/>
        <v>21.6</v>
      </c>
      <c r="N21" s="67">
        <f t="shared" si="6"/>
        <v>20.399999999999999</v>
      </c>
      <c r="O21" s="67">
        <f t="shared" si="7"/>
        <v>21.2</v>
      </c>
      <c r="P21" s="66">
        <f t="shared" si="8"/>
        <v>27.2</v>
      </c>
      <c r="Q21" s="66">
        <f t="shared" si="9"/>
        <v>20.399999999999999</v>
      </c>
      <c r="R21" s="71" t="str">
        <f t="shared" si="10"/>
        <v>(20-22)</v>
      </c>
      <c r="S21" s="69">
        <f t="shared" si="11"/>
        <v>20</v>
      </c>
      <c r="T21" s="147" t="s">
        <v>172</v>
      </c>
      <c r="U21" s="63">
        <f t="shared" si="12"/>
        <v>2.2948915424170995</v>
      </c>
      <c r="V21" s="63">
        <f t="shared" si="13"/>
        <v>0.63923600000000014</v>
      </c>
      <c r="W21" s="63">
        <f t="shared" si="14"/>
        <v>1</v>
      </c>
      <c r="X21" s="63">
        <f t="shared" si="15"/>
        <v>1.6556555424170993</v>
      </c>
      <c r="Y21" s="63">
        <f t="shared" si="20"/>
        <v>1.6556555424170993</v>
      </c>
      <c r="Z21" s="135">
        <f t="shared" si="16"/>
        <v>18.344344457582899</v>
      </c>
      <c r="AA21" s="70">
        <f t="shared" si="17"/>
        <v>2.6173777116391914</v>
      </c>
    </row>
    <row r="22" spans="2:29" ht="13.5">
      <c r="B22" s="60" t="s">
        <v>142</v>
      </c>
      <c r="C22" s="61" t="s">
        <v>183</v>
      </c>
      <c r="D22" s="143">
        <v>35</v>
      </c>
      <c r="E22" s="63">
        <f t="shared" si="2"/>
        <v>42</v>
      </c>
      <c r="F22" s="64">
        <v>1</v>
      </c>
      <c r="G22" s="63">
        <v>1</v>
      </c>
      <c r="H22" s="63">
        <f t="shared" si="3"/>
        <v>2.9333333333333336</v>
      </c>
      <c r="I22" s="140">
        <v>13</v>
      </c>
      <c r="J22" s="141">
        <f t="shared" si="18"/>
        <v>3</v>
      </c>
      <c r="K22" s="63">
        <f t="shared" si="19"/>
        <v>18.918604828565993</v>
      </c>
      <c r="L22" s="66">
        <f t="shared" si="4"/>
        <v>20</v>
      </c>
      <c r="M22" s="67">
        <f t="shared" si="5"/>
        <v>21.6</v>
      </c>
      <c r="N22" s="67">
        <f t="shared" si="6"/>
        <v>20.399999999999999</v>
      </c>
      <c r="O22" s="67">
        <f t="shared" si="7"/>
        <v>21.2</v>
      </c>
      <c r="P22" s="66">
        <f t="shared" si="8"/>
        <v>27.2</v>
      </c>
      <c r="Q22" s="66">
        <f t="shared" si="9"/>
        <v>20.399999999999999</v>
      </c>
      <c r="R22" s="71" t="str">
        <f t="shared" si="10"/>
        <v>(20-22)</v>
      </c>
      <c r="S22" s="69">
        <f t="shared" si="11"/>
        <v>20</v>
      </c>
      <c r="T22" s="147" t="s">
        <v>172</v>
      </c>
      <c r="U22" s="63">
        <f t="shared" si="12"/>
        <v>2.2948915424170995</v>
      </c>
      <c r="V22" s="63">
        <f t="shared" si="13"/>
        <v>0.63923600000000014</v>
      </c>
      <c r="W22" s="63">
        <f t="shared" si="14"/>
        <v>1</v>
      </c>
      <c r="X22" s="63">
        <f t="shared" si="15"/>
        <v>1.6556555424170993</v>
      </c>
      <c r="Y22" s="63">
        <f t="shared" si="20"/>
        <v>1.6556555424170993</v>
      </c>
      <c r="Z22" s="135">
        <f t="shared" si="16"/>
        <v>18.344344457582899</v>
      </c>
      <c r="AA22" s="70">
        <f t="shared" si="17"/>
        <v>2.6173777116391914</v>
      </c>
    </row>
    <row r="23" spans="2:29" ht="13.5">
      <c r="B23" s="60" t="s">
        <v>142</v>
      </c>
      <c r="C23" s="61" t="s">
        <v>199</v>
      </c>
      <c r="D23" s="143">
        <v>35</v>
      </c>
      <c r="E23" s="63">
        <f t="shared" si="2"/>
        <v>42</v>
      </c>
      <c r="F23" s="64">
        <v>1</v>
      </c>
      <c r="G23" s="63">
        <v>1</v>
      </c>
      <c r="H23" s="63">
        <f t="shared" si="3"/>
        <v>2.9333333333333336</v>
      </c>
      <c r="I23" s="140">
        <v>13</v>
      </c>
      <c r="J23" s="141">
        <f t="shared" si="18"/>
        <v>3</v>
      </c>
      <c r="K23" s="63">
        <f t="shared" si="19"/>
        <v>18.918604828565993</v>
      </c>
      <c r="L23" s="66">
        <f t="shared" si="4"/>
        <v>20</v>
      </c>
      <c r="M23" s="67">
        <f t="shared" si="5"/>
        <v>21.6</v>
      </c>
      <c r="N23" s="67">
        <f t="shared" si="6"/>
        <v>20.399999999999999</v>
      </c>
      <c r="O23" s="67">
        <f t="shared" si="7"/>
        <v>21.2</v>
      </c>
      <c r="P23" s="66">
        <f t="shared" si="8"/>
        <v>27.2</v>
      </c>
      <c r="Q23" s="66">
        <f t="shared" si="9"/>
        <v>20.399999999999999</v>
      </c>
      <c r="R23" s="71" t="str">
        <f t="shared" si="10"/>
        <v>(20-22)</v>
      </c>
      <c r="S23" s="69">
        <f t="shared" si="11"/>
        <v>20</v>
      </c>
      <c r="T23" s="147" t="s">
        <v>172</v>
      </c>
      <c r="U23" s="63">
        <f t="shared" si="12"/>
        <v>2.2948915424170995</v>
      </c>
      <c r="V23" s="63">
        <f t="shared" si="13"/>
        <v>0.63923600000000014</v>
      </c>
      <c r="W23" s="63">
        <f t="shared" si="14"/>
        <v>1</v>
      </c>
      <c r="X23" s="63">
        <f t="shared" si="15"/>
        <v>1.6556555424170993</v>
      </c>
      <c r="Y23" s="63">
        <f t="shared" si="20"/>
        <v>1.6556555424170993</v>
      </c>
      <c r="Z23" s="135">
        <f t="shared" si="16"/>
        <v>18.344344457582899</v>
      </c>
      <c r="AA23" s="70">
        <f t="shared" si="17"/>
        <v>2.6173777116391914</v>
      </c>
    </row>
    <row r="24" spans="2:29" ht="13.5">
      <c r="B24" s="60" t="s">
        <v>142</v>
      </c>
      <c r="C24" s="61" t="s">
        <v>184</v>
      </c>
      <c r="D24" s="143">
        <v>40</v>
      </c>
      <c r="E24" s="63">
        <f t="shared" si="2"/>
        <v>48</v>
      </c>
      <c r="F24" s="64">
        <v>1</v>
      </c>
      <c r="G24" s="63">
        <v>1</v>
      </c>
      <c r="H24" s="63">
        <f t="shared" si="3"/>
        <v>2.9333333333333336</v>
      </c>
      <c r="I24" s="140">
        <v>16</v>
      </c>
      <c r="J24" s="141">
        <f t="shared" si="18"/>
        <v>3</v>
      </c>
      <c r="K24" s="63">
        <f t="shared" si="19"/>
        <v>19.450045876897104</v>
      </c>
      <c r="L24" s="66">
        <f t="shared" si="4"/>
        <v>20</v>
      </c>
      <c r="M24" s="67">
        <f t="shared" si="5"/>
        <v>21.6</v>
      </c>
      <c r="N24" s="67">
        <f t="shared" si="6"/>
        <v>20.399999999999999</v>
      </c>
      <c r="O24" s="67">
        <f t="shared" si="7"/>
        <v>21.2</v>
      </c>
      <c r="P24" s="66">
        <f t="shared" si="8"/>
        <v>27.2</v>
      </c>
      <c r="Q24" s="66">
        <f t="shared" si="9"/>
        <v>20.399999999999999</v>
      </c>
      <c r="R24" s="71" t="str">
        <f t="shared" si="10"/>
        <v>(20-22)</v>
      </c>
      <c r="S24" s="69">
        <f t="shared" si="11"/>
        <v>20</v>
      </c>
      <c r="T24" s="147" t="s">
        <v>172</v>
      </c>
      <c r="U24" s="63">
        <f t="shared" si="12"/>
        <v>2.6227331913338277</v>
      </c>
      <c r="V24" s="63">
        <f t="shared" si="13"/>
        <v>0.78675200000000012</v>
      </c>
      <c r="W24" s="63">
        <f t="shared" si="14"/>
        <v>1</v>
      </c>
      <c r="X24" s="63">
        <f t="shared" si="15"/>
        <v>1.8359811913338275</v>
      </c>
      <c r="Y24" s="63">
        <f t="shared" si="20"/>
        <v>1.8359811913338275</v>
      </c>
      <c r="Z24" s="135">
        <f t="shared" si="16"/>
        <v>18.164018808666171</v>
      </c>
      <c r="AA24" s="70">
        <f t="shared" si="17"/>
        <v>2.6174003940985324</v>
      </c>
    </row>
    <row r="25" spans="2:29" ht="13.5">
      <c r="B25" s="60" t="s">
        <v>142</v>
      </c>
      <c r="C25" s="61" t="s">
        <v>185</v>
      </c>
      <c r="D25" s="143">
        <v>40</v>
      </c>
      <c r="E25" s="63">
        <f t="shared" si="2"/>
        <v>48</v>
      </c>
      <c r="F25" s="64">
        <v>1</v>
      </c>
      <c r="G25" s="63">
        <v>1</v>
      </c>
      <c r="H25" s="63">
        <f t="shared" si="3"/>
        <v>2.9333333333333336</v>
      </c>
      <c r="I25" s="140">
        <v>16</v>
      </c>
      <c r="J25" s="141">
        <f t="shared" si="18"/>
        <v>3</v>
      </c>
      <c r="K25" s="63">
        <f t="shared" si="19"/>
        <v>19.450045876897104</v>
      </c>
      <c r="L25" s="66">
        <f t="shared" si="4"/>
        <v>20</v>
      </c>
      <c r="M25" s="67">
        <f t="shared" si="5"/>
        <v>21.6</v>
      </c>
      <c r="N25" s="67">
        <f t="shared" si="6"/>
        <v>20.399999999999999</v>
      </c>
      <c r="O25" s="67">
        <f t="shared" si="7"/>
        <v>21.2</v>
      </c>
      <c r="P25" s="66">
        <f t="shared" si="8"/>
        <v>27.2</v>
      </c>
      <c r="Q25" s="66">
        <f t="shared" si="9"/>
        <v>20.399999999999999</v>
      </c>
      <c r="R25" s="71" t="str">
        <f t="shared" si="10"/>
        <v>(20-22)</v>
      </c>
      <c r="S25" s="69">
        <f t="shared" si="11"/>
        <v>20</v>
      </c>
      <c r="T25" s="147" t="s">
        <v>172</v>
      </c>
      <c r="U25" s="63">
        <f t="shared" si="12"/>
        <v>2.6227331913338277</v>
      </c>
      <c r="V25" s="63">
        <f t="shared" si="13"/>
        <v>0.78675200000000012</v>
      </c>
      <c r="W25" s="63">
        <f t="shared" si="14"/>
        <v>1</v>
      </c>
      <c r="X25" s="63">
        <f t="shared" si="15"/>
        <v>1.8359811913338275</v>
      </c>
      <c r="Y25" s="63">
        <f t="shared" si="20"/>
        <v>1.8359811913338275</v>
      </c>
      <c r="Z25" s="135">
        <f t="shared" si="16"/>
        <v>18.164018808666171</v>
      </c>
      <c r="AA25" s="70">
        <f t="shared" si="17"/>
        <v>2.6174003940985324</v>
      </c>
    </row>
    <row r="26" spans="2:29" ht="13.5">
      <c r="B26" s="60" t="s">
        <v>142</v>
      </c>
      <c r="C26" s="61" t="s">
        <v>186</v>
      </c>
      <c r="D26" s="143">
        <v>40</v>
      </c>
      <c r="E26" s="63">
        <f t="shared" si="2"/>
        <v>48</v>
      </c>
      <c r="F26" s="64">
        <v>1</v>
      </c>
      <c r="G26" s="63">
        <v>1</v>
      </c>
      <c r="H26" s="63">
        <f t="shared" si="3"/>
        <v>2.9333333333333336</v>
      </c>
      <c r="I26" s="140">
        <v>16</v>
      </c>
      <c r="J26" s="141">
        <f t="shared" si="18"/>
        <v>3</v>
      </c>
      <c r="K26" s="63">
        <f t="shared" si="19"/>
        <v>19.450045876897104</v>
      </c>
      <c r="L26" s="66">
        <f t="shared" si="4"/>
        <v>20</v>
      </c>
      <c r="M26" s="67">
        <f t="shared" si="5"/>
        <v>21.6</v>
      </c>
      <c r="N26" s="67">
        <f t="shared" si="6"/>
        <v>20.399999999999999</v>
      </c>
      <c r="O26" s="67">
        <f t="shared" si="7"/>
        <v>21.2</v>
      </c>
      <c r="P26" s="66">
        <f t="shared" si="8"/>
        <v>27.2</v>
      </c>
      <c r="Q26" s="66">
        <f t="shared" si="9"/>
        <v>20.399999999999999</v>
      </c>
      <c r="R26" s="71" t="str">
        <f t="shared" si="10"/>
        <v>(20-22)</v>
      </c>
      <c r="S26" s="69">
        <f t="shared" si="11"/>
        <v>20</v>
      </c>
      <c r="T26" s="147" t="s">
        <v>172</v>
      </c>
      <c r="U26" s="63">
        <f t="shared" si="12"/>
        <v>2.6227331913338277</v>
      </c>
      <c r="V26" s="63">
        <f t="shared" si="13"/>
        <v>0.78675200000000012</v>
      </c>
      <c r="W26" s="63">
        <f t="shared" si="14"/>
        <v>1</v>
      </c>
      <c r="X26" s="63">
        <f t="shared" si="15"/>
        <v>1.8359811913338275</v>
      </c>
      <c r="Y26" s="63">
        <f t="shared" si="20"/>
        <v>1.8359811913338275</v>
      </c>
      <c r="Z26" s="135">
        <f t="shared" si="16"/>
        <v>18.164018808666171</v>
      </c>
      <c r="AA26" s="70">
        <f t="shared" si="17"/>
        <v>2.6174003940985324</v>
      </c>
    </row>
    <row r="27" spans="2:29" ht="13.5">
      <c r="B27" s="60" t="s">
        <v>142</v>
      </c>
      <c r="C27" s="61" t="s">
        <v>200</v>
      </c>
      <c r="D27" s="143">
        <v>40</v>
      </c>
      <c r="E27" s="63">
        <f t="shared" si="2"/>
        <v>48</v>
      </c>
      <c r="F27" s="64">
        <v>1</v>
      </c>
      <c r="G27" s="63">
        <v>1</v>
      </c>
      <c r="H27" s="63">
        <f t="shared" si="3"/>
        <v>2.9333333333333336</v>
      </c>
      <c r="I27" s="140">
        <v>16</v>
      </c>
      <c r="J27" s="141">
        <f t="shared" si="18"/>
        <v>3</v>
      </c>
      <c r="K27" s="63">
        <f t="shared" si="19"/>
        <v>19.450045876897104</v>
      </c>
      <c r="L27" s="66">
        <f t="shared" si="4"/>
        <v>20</v>
      </c>
      <c r="M27" s="67">
        <f t="shared" si="5"/>
        <v>21.6</v>
      </c>
      <c r="N27" s="67">
        <f t="shared" si="6"/>
        <v>20.399999999999999</v>
      </c>
      <c r="O27" s="67">
        <f t="shared" si="7"/>
        <v>21.2</v>
      </c>
      <c r="P27" s="66">
        <f t="shared" si="8"/>
        <v>27.2</v>
      </c>
      <c r="Q27" s="66">
        <f t="shared" si="9"/>
        <v>20.399999999999999</v>
      </c>
      <c r="R27" s="71" t="str">
        <f t="shared" si="10"/>
        <v>(20-22)</v>
      </c>
      <c r="S27" s="69">
        <f t="shared" si="11"/>
        <v>20</v>
      </c>
      <c r="T27" s="147" t="s">
        <v>172</v>
      </c>
      <c r="U27" s="63">
        <f t="shared" si="12"/>
        <v>2.6227331913338277</v>
      </c>
      <c r="V27" s="63">
        <f t="shared" si="13"/>
        <v>0.78675200000000012</v>
      </c>
      <c r="W27" s="63">
        <f t="shared" si="14"/>
        <v>1</v>
      </c>
      <c r="X27" s="63">
        <f t="shared" si="15"/>
        <v>1.8359811913338275</v>
      </c>
      <c r="Y27" s="63">
        <f t="shared" si="20"/>
        <v>1.8359811913338275</v>
      </c>
      <c r="Z27" s="135">
        <f t="shared" si="16"/>
        <v>18.164018808666171</v>
      </c>
      <c r="AA27" s="70">
        <f t="shared" si="17"/>
        <v>2.6174003940985324</v>
      </c>
    </row>
    <row r="28" spans="2:29" ht="13.5">
      <c r="B28" s="60" t="s">
        <v>142</v>
      </c>
      <c r="C28" s="61" t="s">
        <v>187</v>
      </c>
      <c r="D28" s="143">
        <v>45</v>
      </c>
      <c r="E28" s="63">
        <f t="shared" si="2"/>
        <v>54</v>
      </c>
      <c r="F28" s="64">
        <v>1</v>
      </c>
      <c r="G28" s="63">
        <v>1</v>
      </c>
      <c r="H28" s="63">
        <f t="shared" si="3"/>
        <v>2.9333333333333336</v>
      </c>
      <c r="I28" s="140">
        <v>19</v>
      </c>
      <c r="J28" s="141">
        <f t="shared" si="18"/>
        <v>3</v>
      </c>
      <c r="K28" s="63">
        <f t="shared" si="19"/>
        <v>19.931188042736114</v>
      </c>
      <c r="L28" s="66">
        <f t="shared" si="4"/>
        <v>20</v>
      </c>
      <c r="M28" s="67">
        <f t="shared" si="5"/>
        <v>21.6</v>
      </c>
      <c r="N28" s="67">
        <f t="shared" si="6"/>
        <v>20.399999999999999</v>
      </c>
      <c r="O28" s="67">
        <f t="shared" si="7"/>
        <v>21.2</v>
      </c>
      <c r="P28" s="66">
        <f t="shared" si="8"/>
        <v>27.2</v>
      </c>
      <c r="Q28" s="66">
        <f t="shared" si="9"/>
        <v>20.399999999999999</v>
      </c>
      <c r="R28" s="71" t="str">
        <f t="shared" si="10"/>
        <v>(20-22)</v>
      </c>
      <c r="S28" s="69">
        <f t="shared" si="11"/>
        <v>20</v>
      </c>
      <c r="T28" s="147" t="s">
        <v>172</v>
      </c>
      <c r="U28" s="63">
        <f t="shared" si="12"/>
        <v>2.9505748402505558</v>
      </c>
      <c r="V28" s="63">
        <f t="shared" si="13"/>
        <v>0.9342680000000001</v>
      </c>
      <c r="W28" s="63">
        <f t="shared" si="14"/>
        <v>1</v>
      </c>
      <c r="X28" s="63">
        <f t="shared" si="15"/>
        <v>2.0163068402505555</v>
      </c>
      <c r="Y28" s="63">
        <f t="shared" si="20"/>
        <v>2.0163068402505555</v>
      </c>
      <c r="Z28" s="135">
        <f t="shared" si="16"/>
        <v>17.983693159749443</v>
      </c>
      <c r="AA28" s="70">
        <f t="shared" si="17"/>
        <v>2.6174230769510132</v>
      </c>
    </row>
    <row r="29" spans="2:29" ht="13.5">
      <c r="B29" s="60" t="s">
        <v>142</v>
      </c>
      <c r="C29" s="61" t="s">
        <v>188</v>
      </c>
      <c r="D29" s="143">
        <v>45</v>
      </c>
      <c r="E29" s="63">
        <f t="shared" si="2"/>
        <v>54</v>
      </c>
      <c r="F29" s="64">
        <v>1</v>
      </c>
      <c r="G29" s="63">
        <v>1</v>
      </c>
      <c r="H29" s="63">
        <f t="shared" si="3"/>
        <v>2.9333333333333336</v>
      </c>
      <c r="I29" s="140">
        <v>19</v>
      </c>
      <c r="J29" s="141">
        <f t="shared" si="18"/>
        <v>3</v>
      </c>
      <c r="K29" s="63">
        <f t="shared" si="19"/>
        <v>19.931188042736114</v>
      </c>
      <c r="L29" s="66">
        <f t="shared" si="4"/>
        <v>20</v>
      </c>
      <c r="M29" s="67">
        <f t="shared" si="5"/>
        <v>21.6</v>
      </c>
      <c r="N29" s="67">
        <f t="shared" si="6"/>
        <v>20.399999999999999</v>
      </c>
      <c r="O29" s="67">
        <f t="shared" si="7"/>
        <v>21.2</v>
      </c>
      <c r="P29" s="66">
        <f t="shared" si="8"/>
        <v>27.2</v>
      </c>
      <c r="Q29" s="66">
        <f t="shared" si="9"/>
        <v>20.399999999999999</v>
      </c>
      <c r="R29" s="71" t="str">
        <f t="shared" si="10"/>
        <v>(20-22)</v>
      </c>
      <c r="S29" s="69">
        <f t="shared" si="11"/>
        <v>20</v>
      </c>
      <c r="T29" s="147" t="s">
        <v>172</v>
      </c>
      <c r="U29" s="63">
        <f t="shared" si="12"/>
        <v>2.9505748402505558</v>
      </c>
      <c r="V29" s="63">
        <f t="shared" si="13"/>
        <v>0.9342680000000001</v>
      </c>
      <c r="W29" s="63">
        <f t="shared" si="14"/>
        <v>1</v>
      </c>
      <c r="X29" s="63">
        <f t="shared" si="15"/>
        <v>2.0163068402505555</v>
      </c>
      <c r="Y29" s="63">
        <f t="shared" si="20"/>
        <v>2.0163068402505555</v>
      </c>
      <c r="Z29" s="135">
        <f t="shared" si="16"/>
        <v>17.983693159749443</v>
      </c>
      <c r="AA29" s="70">
        <f t="shared" si="17"/>
        <v>2.6174230769510132</v>
      </c>
    </row>
    <row r="30" spans="2:29" ht="13.5">
      <c r="B30" s="60" t="s">
        <v>142</v>
      </c>
      <c r="C30" s="61" t="s">
        <v>189</v>
      </c>
      <c r="D30" s="143">
        <v>45</v>
      </c>
      <c r="E30" s="63">
        <f t="shared" si="2"/>
        <v>54</v>
      </c>
      <c r="F30" s="64">
        <v>1</v>
      </c>
      <c r="G30" s="63">
        <v>1</v>
      </c>
      <c r="H30" s="63">
        <f t="shared" si="3"/>
        <v>2.9333333333333336</v>
      </c>
      <c r="I30" s="140">
        <v>19</v>
      </c>
      <c r="J30" s="141">
        <f t="shared" si="18"/>
        <v>3</v>
      </c>
      <c r="K30" s="63">
        <f t="shared" si="19"/>
        <v>19.931188042736114</v>
      </c>
      <c r="L30" s="66">
        <f t="shared" si="4"/>
        <v>20</v>
      </c>
      <c r="M30" s="67">
        <f t="shared" si="5"/>
        <v>21.6</v>
      </c>
      <c r="N30" s="67">
        <f t="shared" si="6"/>
        <v>20.399999999999999</v>
      </c>
      <c r="O30" s="67">
        <f t="shared" si="7"/>
        <v>21.2</v>
      </c>
      <c r="P30" s="66">
        <f t="shared" si="8"/>
        <v>27.2</v>
      </c>
      <c r="Q30" s="66">
        <f t="shared" si="9"/>
        <v>20.399999999999999</v>
      </c>
      <c r="R30" s="71" t="str">
        <f t="shared" si="10"/>
        <v>(20-22)</v>
      </c>
      <c r="S30" s="69">
        <f t="shared" si="11"/>
        <v>20</v>
      </c>
      <c r="T30" s="147" t="s">
        <v>172</v>
      </c>
      <c r="U30" s="63">
        <f t="shared" si="12"/>
        <v>2.9505748402505558</v>
      </c>
      <c r="V30" s="63">
        <f t="shared" si="13"/>
        <v>0.9342680000000001</v>
      </c>
      <c r="W30" s="63">
        <f t="shared" si="14"/>
        <v>1</v>
      </c>
      <c r="X30" s="63">
        <f t="shared" si="15"/>
        <v>2.0163068402505555</v>
      </c>
      <c r="Y30" s="63">
        <f t="shared" si="20"/>
        <v>2.0163068402505555</v>
      </c>
      <c r="Z30" s="135">
        <f t="shared" si="16"/>
        <v>17.983693159749443</v>
      </c>
      <c r="AA30" s="70">
        <f t="shared" si="17"/>
        <v>2.6174230769510132</v>
      </c>
    </row>
    <row r="31" spans="2:29" ht="13.5">
      <c r="B31" s="60" t="s">
        <v>142</v>
      </c>
      <c r="C31" s="61" t="s">
        <v>201</v>
      </c>
      <c r="D31" s="143">
        <v>45</v>
      </c>
      <c r="E31" s="63">
        <f t="shared" si="2"/>
        <v>54</v>
      </c>
      <c r="F31" s="64">
        <v>1</v>
      </c>
      <c r="G31" s="63">
        <v>1</v>
      </c>
      <c r="H31" s="63">
        <f t="shared" si="3"/>
        <v>2.9333333333333336</v>
      </c>
      <c r="I31" s="140">
        <v>19</v>
      </c>
      <c r="J31" s="141">
        <f t="shared" si="18"/>
        <v>3</v>
      </c>
      <c r="K31" s="63">
        <f t="shared" si="19"/>
        <v>19.931188042736114</v>
      </c>
      <c r="L31" s="66">
        <f t="shared" si="4"/>
        <v>20</v>
      </c>
      <c r="M31" s="67">
        <f t="shared" si="5"/>
        <v>21.6</v>
      </c>
      <c r="N31" s="67">
        <f t="shared" si="6"/>
        <v>20.399999999999999</v>
      </c>
      <c r="O31" s="67">
        <f t="shared" si="7"/>
        <v>21.2</v>
      </c>
      <c r="P31" s="66">
        <f t="shared" si="8"/>
        <v>27.2</v>
      </c>
      <c r="Q31" s="66">
        <f t="shared" si="9"/>
        <v>20.399999999999999</v>
      </c>
      <c r="R31" s="71" t="str">
        <f t="shared" si="10"/>
        <v>(20-22)</v>
      </c>
      <c r="S31" s="69">
        <f t="shared" si="11"/>
        <v>20</v>
      </c>
      <c r="T31" s="147" t="s">
        <v>172</v>
      </c>
      <c r="U31" s="63">
        <f t="shared" si="12"/>
        <v>2.9505748402505558</v>
      </c>
      <c r="V31" s="63">
        <f t="shared" si="13"/>
        <v>0.9342680000000001</v>
      </c>
      <c r="W31" s="63">
        <f t="shared" si="14"/>
        <v>1</v>
      </c>
      <c r="X31" s="63">
        <f t="shared" si="15"/>
        <v>2.0163068402505555</v>
      </c>
      <c r="Y31" s="63">
        <f t="shared" si="20"/>
        <v>2.0163068402505555</v>
      </c>
      <c r="Z31" s="135">
        <f t="shared" si="16"/>
        <v>17.983693159749443</v>
      </c>
      <c r="AA31" s="70">
        <f t="shared" si="17"/>
        <v>2.6174230769510132</v>
      </c>
    </row>
    <row r="32" spans="2:29" ht="13.5">
      <c r="B32" s="60" t="s">
        <v>142</v>
      </c>
      <c r="C32" s="61" t="s">
        <v>202</v>
      </c>
      <c r="D32" s="143">
        <v>60</v>
      </c>
      <c r="E32" s="63">
        <f t="shared" si="2"/>
        <v>72</v>
      </c>
      <c r="F32" s="64">
        <v>1</v>
      </c>
      <c r="G32" s="63">
        <v>1</v>
      </c>
      <c r="H32" s="63">
        <f t="shared" si="3"/>
        <v>2.9333333333333336</v>
      </c>
      <c r="I32" s="140">
        <v>22</v>
      </c>
      <c r="J32" s="141">
        <f t="shared" si="18"/>
        <v>3</v>
      </c>
      <c r="K32" s="63">
        <f t="shared" si="19"/>
        <v>21.157000010441863</v>
      </c>
      <c r="L32" s="66">
        <f t="shared" si="4"/>
        <v>26</v>
      </c>
      <c r="M32" s="67">
        <f t="shared" si="5"/>
        <v>21.6</v>
      </c>
      <c r="N32" s="67">
        <f t="shared" si="6"/>
        <v>26.2</v>
      </c>
      <c r="O32" s="67">
        <f t="shared" si="7"/>
        <v>21.2</v>
      </c>
      <c r="P32" s="66">
        <f t="shared" si="8"/>
        <v>27.2</v>
      </c>
      <c r="Q32" s="66">
        <f t="shared" si="9"/>
        <v>26.2</v>
      </c>
      <c r="R32" s="71" t="str">
        <f t="shared" si="10"/>
        <v>(26-28)</v>
      </c>
      <c r="S32" s="69">
        <f t="shared" si="11"/>
        <v>26</v>
      </c>
      <c r="T32" s="147" t="s">
        <v>172</v>
      </c>
      <c r="U32" s="63">
        <f t="shared" si="12"/>
        <v>1.1108065023518885</v>
      </c>
      <c r="V32" s="63">
        <f t="shared" si="13"/>
        <v>1.0817840000000001</v>
      </c>
      <c r="W32" s="63">
        <f t="shared" si="14"/>
        <v>1</v>
      </c>
      <c r="X32" s="63">
        <f t="shared" si="15"/>
        <v>2.9022502351888413E-2</v>
      </c>
      <c r="Y32" s="63">
        <f t="shared" si="20"/>
        <v>2.9022502351888413E-2</v>
      </c>
      <c r="Z32" s="135">
        <f t="shared" si="16"/>
        <v>19.970977497648111</v>
      </c>
      <c r="AA32" s="70">
        <f t="shared" si="17"/>
        <v>1.548623148867601</v>
      </c>
    </row>
    <row r="33" spans="2:29" ht="13.5">
      <c r="B33" s="60" t="s">
        <v>142</v>
      </c>
      <c r="C33" s="61" t="s">
        <v>203</v>
      </c>
      <c r="D33" s="143">
        <v>60</v>
      </c>
      <c r="E33" s="63">
        <f t="shared" si="2"/>
        <v>72</v>
      </c>
      <c r="F33" s="64">
        <v>1</v>
      </c>
      <c r="G33" s="63">
        <v>1</v>
      </c>
      <c r="H33" s="63">
        <f t="shared" si="3"/>
        <v>2.9333333333333336</v>
      </c>
      <c r="I33" s="140">
        <v>22</v>
      </c>
      <c r="J33" s="141">
        <f t="shared" si="18"/>
        <v>3</v>
      </c>
      <c r="K33" s="63">
        <f t="shared" si="19"/>
        <v>21.157000010441863</v>
      </c>
      <c r="L33" s="66">
        <f t="shared" si="4"/>
        <v>26</v>
      </c>
      <c r="M33" s="67">
        <f t="shared" si="5"/>
        <v>21.6</v>
      </c>
      <c r="N33" s="67">
        <f t="shared" si="6"/>
        <v>26.2</v>
      </c>
      <c r="O33" s="67">
        <f t="shared" si="7"/>
        <v>21.2</v>
      </c>
      <c r="P33" s="66">
        <f t="shared" si="8"/>
        <v>27.2</v>
      </c>
      <c r="Q33" s="66">
        <f t="shared" si="9"/>
        <v>26.2</v>
      </c>
      <c r="R33" s="71" t="str">
        <f t="shared" si="10"/>
        <v>(26-28)</v>
      </c>
      <c r="S33" s="69">
        <f t="shared" si="11"/>
        <v>26</v>
      </c>
      <c r="T33" s="147" t="s">
        <v>172</v>
      </c>
      <c r="U33" s="63">
        <f t="shared" si="12"/>
        <v>1.1108065023518885</v>
      </c>
      <c r="V33" s="63">
        <f t="shared" si="13"/>
        <v>1.0817840000000001</v>
      </c>
      <c r="W33" s="63">
        <f t="shared" si="14"/>
        <v>1</v>
      </c>
      <c r="X33" s="63">
        <f t="shared" si="15"/>
        <v>2.9022502351888413E-2</v>
      </c>
      <c r="Y33" s="63">
        <f t="shared" si="20"/>
        <v>2.9022502351888413E-2</v>
      </c>
      <c r="Z33" s="135">
        <f t="shared" si="16"/>
        <v>19.970977497648111</v>
      </c>
      <c r="AA33" s="70">
        <f t="shared" si="17"/>
        <v>1.548623148867601</v>
      </c>
    </row>
    <row r="34" spans="2:29" ht="13.5">
      <c r="B34" s="60" t="s">
        <v>142</v>
      </c>
      <c r="C34" s="61" t="s">
        <v>204</v>
      </c>
      <c r="D34" s="143">
        <v>60</v>
      </c>
      <c r="E34" s="63">
        <f t="shared" si="2"/>
        <v>72</v>
      </c>
      <c r="F34" s="64">
        <v>1</v>
      </c>
      <c r="G34" s="63">
        <v>1</v>
      </c>
      <c r="H34" s="63">
        <f t="shared" si="3"/>
        <v>2.9333333333333336</v>
      </c>
      <c r="I34" s="140">
        <v>22</v>
      </c>
      <c r="J34" s="141">
        <f t="shared" si="18"/>
        <v>3</v>
      </c>
      <c r="K34" s="63">
        <f t="shared" si="19"/>
        <v>21.157000010441863</v>
      </c>
      <c r="L34" s="66">
        <f t="shared" si="4"/>
        <v>26</v>
      </c>
      <c r="M34" s="67">
        <f t="shared" si="5"/>
        <v>21.6</v>
      </c>
      <c r="N34" s="67">
        <f t="shared" si="6"/>
        <v>26.2</v>
      </c>
      <c r="O34" s="67">
        <f t="shared" si="7"/>
        <v>21.2</v>
      </c>
      <c r="P34" s="66">
        <f t="shared" si="8"/>
        <v>27.2</v>
      </c>
      <c r="Q34" s="66">
        <f t="shared" si="9"/>
        <v>26.2</v>
      </c>
      <c r="R34" s="71" t="str">
        <f t="shared" si="10"/>
        <v>(26-28)</v>
      </c>
      <c r="S34" s="69">
        <f t="shared" si="11"/>
        <v>26</v>
      </c>
      <c r="T34" s="147" t="s">
        <v>172</v>
      </c>
      <c r="U34" s="63">
        <f t="shared" si="12"/>
        <v>1.1108065023518885</v>
      </c>
      <c r="V34" s="63">
        <f t="shared" si="13"/>
        <v>1.0817840000000001</v>
      </c>
      <c r="W34" s="63">
        <f t="shared" si="14"/>
        <v>1</v>
      </c>
      <c r="X34" s="63">
        <f t="shared" si="15"/>
        <v>2.9022502351888413E-2</v>
      </c>
      <c r="Y34" s="63">
        <f t="shared" si="20"/>
        <v>2.9022502351888413E-2</v>
      </c>
      <c r="Z34" s="135">
        <f t="shared" si="16"/>
        <v>19.970977497648111</v>
      </c>
      <c r="AA34" s="70">
        <f t="shared" si="17"/>
        <v>1.548623148867601</v>
      </c>
    </row>
    <row r="35" spans="2:29" ht="13.5">
      <c r="B35" s="60" t="s">
        <v>142</v>
      </c>
      <c r="C35" s="61" t="s">
        <v>205</v>
      </c>
      <c r="D35" s="143">
        <v>60</v>
      </c>
      <c r="E35" s="63">
        <f t="shared" si="2"/>
        <v>72</v>
      </c>
      <c r="F35" s="64">
        <v>1</v>
      </c>
      <c r="G35" s="63">
        <v>1</v>
      </c>
      <c r="H35" s="63">
        <f t="shared" si="3"/>
        <v>2.9333333333333336</v>
      </c>
      <c r="I35" s="140">
        <v>22</v>
      </c>
      <c r="J35" s="141">
        <f t="shared" si="18"/>
        <v>3</v>
      </c>
      <c r="K35" s="63">
        <f t="shared" si="19"/>
        <v>21.157000010441863</v>
      </c>
      <c r="L35" s="66">
        <f t="shared" si="4"/>
        <v>26</v>
      </c>
      <c r="M35" s="67">
        <f t="shared" si="5"/>
        <v>21.6</v>
      </c>
      <c r="N35" s="67">
        <f t="shared" si="6"/>
        <v>26.2</v>
      </c>
      <c r="O35" s="67">
        <f t="shared" si="7"/>
        <v>21.2</v>
      </c>
      <c r="P35" s="66">
        <f t="shared" si="8"/>
        <v>27.2</v>
      </c>
      <c r="Q35" s="66">
        <f t="shared" si="9"/>
        <v>26.2</v>
      </c>
      <c r="R35" s="71" t="str">
        <f t="shared" si="10"/>
        <v>(26-28)</v>
      </c>
      <c r="S35" s="69">
        <f t="shared" si="11"/>
        <v>26</v>
      </c>
      <c r="T35" s="147" t="s">
        <v>172</v>
      </c>
      <c r="U35" s="63">
        <f t="shared" si="12"/>
        <v>1.1108065023518885</v>
      </c>
      <c r="V35" s="63">
        <f t="shared" si="13"/>
        <v>1.0817840000000001</v>
      </c>
      <c r="W35" s="63">
        <f t="shared" si="14"/>
        <v>1</v>
      </c>
      <c r="X35" s="63">
        <f t="shared" si="15"/>
        <v>2.9022502351888413E-2</v>
      </c>
      <c r="Y35" s="63">
        <f t="shared" si="20"/>
        <v>2.9022502351888413E-2</v>
      </c>
      <c r="Z35" s="135">
        <f t="shared" si="16"/>
        <v>19.970977497648111</v>
      </c>
      <c r="AA35" s="70">
        <f t="shared" si="17"/>
        <v>1.548623148867601</v>
      </c>
    </row>
    <row r="36" spans="2:29" ht="14.25" thickBot="1">
      <c r="B36" s="119" t="s">
        <v>142</v>
      </c>
      <c r="C36" s="120" t="s">
        <v>216</v>
      </c>
      <c r="D36" s="144">
        <v>70</v>
      </c>
      <c r="E36" s="121">
        <f t="shared" si="2"/>
        <v>84</v>
      </c>
      <c r="F36" s="122">
        <v>1</v>
      </c>
      <c r="G36" s="121">
        <v>1</v>
      </c>
      <c r="H36" s="121">
        <f t="shared" si="3"/>
        <v>2.9333333333333336</v>
      </c>
      <c r="I36" s="145">
        <v>25</v>
      </c>
      <c r="J36" s="146">
        <f t="shared" si="18"/>
        <v>3</v>
      </c>
      <c r="K36" s="121">
        <f t="shared" si="19"/>
        <v>21.844568061668785</v>
      </c>
      <c r="L36" s="123">
        <f t="shared" si="4"/>
        <v>26</v>
      </c>
      <c r="M36" s="124">
        <f t="shared" si="5"/>
        <v>27.2</v>
      </c>
      <c r="N36" s="124">
        <f t="shared" si="6"/>
        <v>26.2</v>
      </c>
      <c r="O36" s="124">
        <f t="shared" si="7"/>
        <v>26.6</v>
      </c>
      <c r="P36" s="123">
        <f t="shared" si="8"/>
        <v>34</v>
      </c>
      <c r="Q36" s="123">
        <f t="shared" si="9"/>
        <v>26.2</v>
      </c>
      <c r="R36" s="125" t="str">
        <f t="shared" si="10"/>
        <v>(26-28)</v>
      </c>
      <c r="S36" s="126">
        <f t="shared" si="11"/>
        <v>26</v>
      </c>
      <c r="T36" s="148" t="s">
        <v>172</v>
      </c>
      <c r="U36" s="121">
        <f t="shared" si="12"/>
        <v>1.2959409194105367</v>
      </c>
      <c r="V36" s="121">
        <f t="shared" si="13"/>
        <v>1.2293000000000001</v>
      </c>
      <c r="W36" s="121">
        <f t="shared" si="14"/>
        <v>1</v>
      </c>
      <c r="X36" s="121">
        <f t="shared" si="15"/>
        <v>6.6640919410536625E-2</v>
      </c>
      <c r="Y36" s="121">
        <f>X36</f>
        <v>6.6640919410536625E-2</v>
      </c>
      <c r="Z36" s="121">
        <f t="shared" si="16"/>
        <v>19.933359080589462</v>
      </c>
      <c r="AA36" s="127">
        <f t="shared" si="17"/>
        <v>1.5486259483360318</v>
      </c>
    </row>
    <row r="37" spans="2:29" ht="14.25" thickTop="1">
      <c r="B37" s="60"/>
      <c r="C37" s="61"/>
      <c r="D37" s="62"/>
      <c r="E37" s="63"/>
      <c r="F37" s="64"/>
      <c r="G37" s="63"/>
      <c r="H37" s="63"/>
      <c r="I37" s="64"/>
      <c r="J37" s="65"/>
      <c r="K37" s="63"/>
      <c r="L37" s="66"/>
      <c r="M37" s="67"/>
      <c r="N37" s="67"/>
      <c r="O37" s="67"/>
      <c r="P37" s="66"/>
      <c r="Q37" s="66"/>
      <c r="R37" s="71"/>
      <c r="S37" s="69"/>
      <c r="T37" s="69"/>
      <c r="U37" s="63"/>
      <c r="V37" s="63"/>
      <c r="W37" s="63"/>
      <c r="X37" s="63"/>
      <c r="Y37" s="63"/>
      <c r="Z37" s="131"/>
      <c r="AA37" s="70"/>
      <c r="AC37" s="1" t="s">
        <v>197</v>
      </c>
    </row>
    <row r="38" spans="2:29" ht="13.5">
      <c r="B38" s="117" t="s">
        <v>217</v>
      </c>
      <c r="C38" s="61"/>
      <c r="D38" s="62">
        <v>5</v>
      </c>
      <c r="E38" s="63">
        <f>D38*1.2</f>
        <v>6</v>
      </c>
      <c r="F38" s="64">
        <v>1</v>
      </c>
      <c r="G38" s="63">
        <f>IF(CALEFACCION&lt;0,((19+F38)/(10*(F38+1))),((19+F38)/(4*(F38+4))))</f>
        <v>1</v>
      </c>
      <c r="H38" s="63">
        <f>CALEFACCION</f>
        <v>2.0833333333333335</v>
      </c>
      <c r="I38" s="64">
        <v>0</v>
      </c>
      <c r="J38" s="65">
        <v>0.1</v>
      </c>
      <c r="K38" s="63">
        <f>IF((((23200*DENSIDAD*(D38*1.2)*(H38)^1.82)/ABS(J38))^(1/4.82))&gt;16,((23200*DENSIDAD*(D38*1.2)*(H38)^1.82)/ABS(J38))^(1/4.82),16)</f>
        <v>22.485517030821466</v>
      </c>
      <c r="L38" s="66">
        <f>IF($K38=VLOOKUP($K38,COBRE,1),$K38,VLOOKUP(VLOOKUP($K38,COBRE,2)+1,COBRE_1,2))</f>
        <v>26</v>
      </c>
      <c r="M38" s="67">
        <f>IF($K38=VLOOKUP($K38,ACERO,1),$K38,VLOOKUP(VLOOKUP($K38,ACERO,2)+1,ACERO_1,2))</f>
        <v>27.2</v>
      </c>
      <c r="N38" s="67">
        <f>IF($K38=VLOOKUP($K38,POLIBUTILENO,1),$K38,VLOOKUP(VLOOKUP($K38,POLIBUTILENO,2)+1,POLIBUTILENO_1,2))</f>
        <v>26.2</v>
      </c>
      <c r="O38" s="67">
        <f>IF($K38=VLOOKUP($K38,POLIPROPILENO,1),$K38,VLOOKUP(VLOOKUP($K38,POLIPROPILENO,2)+1,POLIPROPILENO_1,2))</f>
        <v>26.6</v>
      </c>
      <c r="P38" s="66">
        <f>IF($K38=VLOOKUP($K38,PVC,1),$K38,VLOOKUP(VLOOKUP($K38,PVC,2)+1,PVC_1,2))</f>
        <v>34</v>
      </c>
      <c r="Q38" s="66">
        <f>IF($K38=VLOOKUP($K38,POLIETILENO,1),$K38,VLOOKUP(VLOOKUP($K38,POLIETILENO,2)+1,POLIETILENO_1,2))</f>
        <v>26.2</v>
      </c>
      <c r="R38" s="71" t="str">
        <f>IF(T38="FE", VLOOKUP(M38,ACERO_2,2), IF(T38="CU",VLOOKUP(L38,COBRE_2,2), IF(T38="PB", VLOOKUP(N38,POLIBUTILENO_2,2),IF(T38="PP",VLOOKUP(O38,POLIPROPILENO_2,2),IF(T38="PVC",VLOOKUP(P38,PVC_2,2),VLOOKUP(Q38,POLIETILENO_2,2))))))</f>
        <v>(26-28)</v>
      </c>
      <c r="S38" s="69">
        <f>IF(T38="FE",M38,IF(T38="CU",L38,IF(T38="PB",N38,IF(T38="PP",O38,IF(T38="PVC",P38,Q38)))))</f>
        <v>26</v>
      </c>
      <c r="T38" s="69" t="s">
        <v>172</v>
      </c>
      <c r="U38" s="63">
        <f>(246000*DENSIDAD*(D38*1.2)*(H38)^1.82/(S38)^4.82)</f>
        <v>0.52655950628129566</v>
      </c>
      <c r="V38" s="63">
        <f>-(1-DENSIDAD)*1.294*I38</f>
        <v>0</v>
      </c>
      <c r="W38" s="63">
        <v>-1</v>
      </c>
      <c r="X38" s="63">
        <f>U38+V38</f>
        <v>0.52655950628129566</v>
      </c>
      <c r="Y38" s="63">
        <f>Y$17+X38</f>
        <v>2.4936093997816666</v>
      </c>
      <c r="Z38" s="131">
        <f>PCONTADOR-Y38</f>
        <v>17.506390600218332</v>
      </c>
      <c r="AA38" s="70">
        <f>IF(352*H38*(273+15)/(((((((PRESION+Z38)/2)*0.0001)+1.037))*273) *(S38^2))&lt;=20,352*H38*(273+15)/(((((((PRESION+Z38)/2)*0.0001)+1.037))*273) *(S38^2)),"Mal")</f>
        <v>1.1000046723350183</v>
      </c>
      <c r="AC38" s="1" t="s">
        <v>193</v>
      </c>
    </row>
    <row r="39" spans="2:29" ht="13.5" hidden="1">
      <c r="B39" s="117" t="s">
        <v>117</v>
      </c>
      <c r="C39" s="61"/>
      <c r="D39" s="62">
        <v>5</v>
      </c>
      <c r="E39" s="63">
        <f>D39*1.2</f>
        <v>6</v>
      </c>
      <c r="F39" s="64">
        <v>1</v>
      </c>
      <c r="G39" s="63" t="e">
        <f>IF(CALEFACCION&gt;0,VLOOKUP(F39,TABLA5,5),VLOOKUP(F39,TABLA5,3))</f>
        <v>#REF!</v>
      </c>
      <c r="H39" s="63">
        <f>Y8</f>
        <v>0.58333333333333337</v>
      </c>
      <c r="I39" s="64">
        <v>25</v>
      </c>
      <c r="J39" s="65">
        <v>2.5</v>
      </c>
      <c r="K39" s="63">
        <f>((246000*DENSIDAD*(D39*1.2)*(H39)^1.82)/ABS(J39))^(1/4.82)</f>
        <v>11.637849571230667</v>
      </c>
      <c r="L39" s="66">
        <f>IF($K39=VLOOKUP($K39,COBRE,1),$K39,VLOOKUP(VLOOKUP($K39,COBRE,2)+1,COBRE_1,2))</f>
        <v>13</v>
      </c>
      <c r="M39" s="67">
        <f>IF($K39=VLOOKUP($K39,ACERO,1),$K39,VLOOKUP(VLOOKUP($K39,ACERO,2)+1,ACERO_1,2))</f>
        <v>12.32</v>
      </c>
      <c r="N39" s="67">
        <f>IF($K39=VLOOKUP($K39,POLIBUTILENO,1),$K39,VLOOKUP(VLOOKUP($K39,POLIBUTILENO,2)+1,POLIBUTILENO_1,2))</f>
        <v>12.4</v>
      </c>
      <c r="O39" s="67">
        <f>IF($K39=VLOOKUP($K39,POLIPROPILENO,1),$K39,VLOOKUP(VLOOKUP($K39,POLIPROPILENO,2)+1,POLIPROPILENO_1,2))</f>
        <v>13.2</v>
      </c>
      <c r="P39" s="66">
        <f>IF($K39=VLOOKUP($K39,PVC,1),$K39,VLOOKUP(VLOOKUP($K39,PVC,2)+1,PVC_1,2))</f>
        <v>17</v>
      </c>
      <c r="Q39" s="66">
        <f>IF($K39=VLOOKUP($K39,POLIETILENO,1),$K39,VLOOKUP(VLOOKUP($K39,POLIETILENO,2)+1,POLIETILENO_1,2))</f>
        <v>12.4</v>
      </c>
      <c r="R39" s="71" t="str">
        <f>IF(T39="FE", VLOOKUP(M39,ACERO_2,2), IF(T39="CU",VLOOKUP(L39,COBRE_2,2), IF(T39="PB", VLOOKUP(N39,POLIBUTILENO_2,2),IF(T39="PP",VLOOKUP(O39,POLIPROPILENO_2,2),IF(T39="PVC",VLOOKUP(P39,PVC_2,2),VLOOKUP(Q39,POLIETILENO_2,2))))))</f>
        <v>(13-15)</v>
      </c>
      <c r="S39" s="69">
        <f>IF(T39="FE",M39,IF(T39="CU",L39,IF(T39="PB",N39,IF(T39="PP",O39,IF(T39="PVC",P39,Q39)))))</f>
        <v>13</v>
      </c>
      <c r="T39" s="69" t="s">
        <v>172</v>
      </c>
      <c r="U39" s="63">
        <f>(246000*DENSIDAD*(D39*1.2)*(H39)^1.82/(S39)^4.82)</f>
        <v>1.4663567878202222</v>
      </c>
      <c r="V39" s="63">
        <f>-(1-DENSIDAD)*1.294*I39</f>
        <v>-12.293000000000001</v>
      </c>
      <c r="W39" s="63">
        <v>-1</v>
      </c>
      <c r="X39" s="63">
        <f>U39+(V39*W39)</f>
        <v>13.759356787820224</v>
      </c>
      <c r="Y39" s="63">
        <f>Y$15+X39</f>
        <v>21.527212543576955</v>
      </c>
      <c r="Z39" s="131">
        <f>PCONTADOR-Y39</f>
        <v>-1.5272125435769546</v>
      </c>
      <c r="AA39" s="70">
        <f>IF(352*H39*(273+15)/(((((((PRESION+Z39)/2)*0.0001)+1.037))*273) *(S39^2))&lt;=20,352*H39*(273+15)/(((((((PRESION+Z39)/2)*0.0001)+1.037))*273) *(S39^2)),"Mal")</f>
        <v>1.2331332378915789</v>
      </c>
      <c r="AC39" s="1" t="s">
        <v>192</v>
      </c>
    </row>
    <row r="40" spans="2:29" ht="13.5" thickBot="1">
      <c r="B40" s="118"/>
      <c r="C40" s="2"/>
      <c r="D40" s="2"/>
      <c r="E40" s="2"/>
      <c r="F40" s="72"/>
      <c r="G40" s="2"/>
      <c r="H40" s="2"/>
      <c r="I40" s="73"/>
      <c r="J40" s="2"/>
      <c r="K40" s="2"/>
      <c r="L40" s="74"/>
      <c r="M40" s="2"/>
      <c r="N40" s="2"/>
      <c r="O40" s="2"/>
      <c r="P40" s="74"/>
      <c r="Q40" s="74"/>
      <c r="R40" s="2"/>
      <c r="S40" s="75"/>
      <c r="T40" s="75"/>
      <c r="U40" s="2"/>
      <c r="V40" s="2"/>
      <c r="W40" s="2"/>
      <c r="X40" s="2"/>
      <c r="Y40" s="2"/>
      <c r="Z40" s="2"/>
      <c r="AA40" s="76"/>
    </row>
    <row r="41" spans="2:29" ht="13.5" thickTop="1"/>
  </sheetData>
  <dataConsolidate/>
  <phoneticPr fontId="10" type="noConversion"/>
  <conditionalFormatting sqref="Z38:Z39">
    <cfRule type="cellIs" dxfId="3" priority="7" stopIfTrue="1" operator="lessThan">
      <formula>17</formula>
    </cfRule>
  </conditionalFormatting>
  <conditionalFormatting sqref="Z17:Z35">
    <cfRule type="cellIs" dxfId="2" priority="4" stopIfTrue="1" operator="lessThan">
      <formula>17</formula>
    </cfRule>
  </conditionalFormatting>
  <conditionalFormatting sqref="AA17:AA36">
    <cfRule type="cellIs" dxfId="1" priority="3" stopIfTrue="1" operator="greaterThanOrEqual">
      <formula>20</formula>
    </cfRule>
  </conditionalFormatting>
  <conditionalFormatting sqref="Z15">
    <cfRule type="cellIs" dxfId="0" priority="2" operator="lessThan">
      <formula>25</formula>
    </cfRule>
  </conditionalFormatting>
  <pageMargins left="0.78740157480314965" right="0.27559055118110237" top="0.59055118110236227" bottom="0.55118110236220474" header="0" footer="0.35433070866141736"/>
  <pageSetup paperSize="9" orientation="landscape" horizontalDpi="360" verticalDpi="360" r:id="rId1"/>
  <headerFooter alignWithMargins="0">
    <oddFooter>&amp;R&amp;"Times New Roman,Cursiva"&amp;9Página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42</vt:i4>
      </vt:variant>
    </vt:vector>
  </HeadingPairs>
  <TitlesOfParts>
    <vt:vector size="44" baseType="lpstr">
      <vt:lpstr>Tablas</vt:lpstr>
      <vt:lpstr>Gas Natural</vt:lpstr>
      <vt:lpstr>_PAC10</vt:lpstr>
      <vt:lpstr>_PAC11</vt:lpstr>
      <vt:lpstr>_PAC9</vt:lpstr>
      <vt:lpstr>ACERO</vt:lpstr>
      <vt:lpstr>ACERO_1</vt:lpstr>
      <vt:lpstr>ACERO_2</vt:lpstr>
      <vt:lpstr>'Gas Natural'!Área_de_impresión</vt:lpstr>
      <vt:lpstr>CALEFACCION</vt:lpstr>
      <vt:lpstr>COBRE</vt:lpstr>
      <vt:lpstr>COBRE_1</vt:lpstr>
      <vt:lpstr>COBRE_2</vt:lpstr>
      <vt:lpstr>DENSIDAD</vt:lpstr>
      <vt:lpstr>DPENB</vt:lpstr>
      <vt:lpstr>DPEND</vt:lpstr>
      <vt:lpstr>DPENE</vt:lpstr>
      <vt:lpstr>DPENF</vt:lpstr>
      <vt:lpstr>PCI</vt:lpstr>
      <vt:lpstr>PCONTADOR</vt:lpstr>
      <vt:lpstr>PCS</vt:lpstr>
      <vt:lpstr>PESPECIFICO</vt:lpstr>
      <vt:lpstr>PINICIAL</vt:lpstr>
      <vt:lpstr>POLIBUTILENO</vt:lpstr>
      <vt:lpstr>POLIBUTILENO_1</vt:lpstr>
      <vt:lpstr>POLIBUTILENO_2</vt:lpstr>
      <vt:lpstr>POLIETILENO</vt:lpstr>
      <vt:lpstr>POLIETILENO_1</vt:lpstr>
      <vt:lpstr>POLIETILENO_2</vt:lpstr>
      <vt:lpstr>POLIPROPILENO</vt:lpstr>
      <vt:lpstr>POLIPROPILENO_1</vt:lpstr>
      <vt:lpstr>POLIPROPILENO_2</vt:lpstr>
      <vt:lpstr>PRESION</vt:lpstr>
      <vt:lpstr>PVC</vt:lpstr>
      <vt:lpstr>PVC_1</vt:lpstr>
      <vt:lpstr>PVC_2</vt:lpstr>
      <vt:lpstr>QUNITARIO</vt:lpstr>
      <vt:lpstr>TABLA1</vt:lpstr>
      <vt:lpstr>TABLA11</vt:lpstr>
      <vt:lpstr>TABLA2</vt:lpstr>
      <vt:lpstr>TABLA3</vt:lpstr>
      <vt:lpstr>TABLA4</vt:lpstr>
      <vt:lpstr>'Gas Natural'!Títulos_a_imprimir</vt:lpstr>
      <vt:lpstr>WOBBE</vt:lpstr>
    </vt:vector>
  </TitlesOfParts>
  <Company>Broa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Instalaciones</dc:creator>
  <dc:description/>
  <cp:lastModifiedBy>00049060</cp:lastModifiedBy>
  <cp:lastPrinted>2003-12-04T14:05:29Z</cp:lastPrinted>
  <dcterms:created xsi:type="dcterms:W3CDTF">1998-02-05T15:18:51Z</dcterms:created>
  <dcterms:modified xsi:type="dcterms:W3CDTF">2009-10-20T23:32:22Z</dcterms:modified>
</cp:coreProperties>
</file>